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680" windowHeight="8550" tabRatio="805" firstSheet="2" activeTab="10"/>
  </bookViews>
  <sheets>
    <sheet name="JAN-2011" sheetId="1" r:id="rId1"/>
    <sheet name="FEB-2011" sheetId="2" r:id="rId2"/>
    <sheet name="MAR-2011" sheetId="3" r:id="rId3"/>
    <sheet name="APR-2011" sheetId="4" r:id="rId4"/>
    <sheet name="MAY-2011" sheetId="5" r:id="rId5"/>
    <sheet name="JUNE-2011" sheetId="6" r:id="rId6"/>
    <sheet name="July-2011" sheetId="7" r:id="rId7"/>
    <sheet name="Aug-2011" sheetId="8" r:id="rId8"/>
    <sheet name="Sep-2011" sheetId="9" r:id="rId9"/>
    <sheet name="OCT-2011" sheetId="10" r:id="rId10"/>
    <sheet name="NOV-2011" sheetId="11" r:id="rId11"/>
  </sheets>
  <externalReferences>
    <externalReference r:id="rId14"/>
  </externalReferences>
  <definedNames>
    <definedName name="_xlnm.Print_Area" localSheetId="3">'APR-2011'!$A$1:$AF$39</definedName>
    <definedName name="_xlnm.Print_Area" localSheetId="7">'Aug-2011'!$A$1:$AF$39</definedName>
    <definedName name="_xlnm.Print_Area" localSheetId="1">'FEB-2011'!$A$1:$AE$36</definedName>
    <definedName name="_xlnm.Print_Area" localSheetId="0">'JAN-2011'!$A$1:$AE$39</definedName>
    <definedName name="_xlnm.Print_Area" localSheetId="6">'July-2011'!$A$1:$AF$39</definedName>
    <definedName name="_xlnm.Print_Area" localSheetId="5">'JUNE-2011'!$A$1:$AF$38</definedName>
    <definedName name="_xlnm.Print_Area" localSheetId="2">'MAR-2011'!$A$1:$AF$39</definedName>
    <definedName name="_xlnm.Print_Area" localSheetId="4">'MAY-2011'!$A$1:$AF$39</definedName>
    <definedName name="_xlnm.Print_Area" localSheetId="10">'NOV-2011'!$A$1:$AE$39</definedName>
    <definedName name="_xlnm.Print_Area" localSheetId="9">'OCT-2011'!$A$1:$AE$48</definedName>
    <definedName name="_xlnm.Print_Area" localSheetId="8">'Sep-2011'!$A$1:$AF$38</definedName>
    <definedName name="_xlnm.Print_Titles" localSheetId="4">'MAY-2011'!$1:$4</definedName>
  </definedNames>
  <calcPr fullCalcOnLoad="1"/>
</workbook>
</file>

<file path=xl/comments10.xml><?xml version="1.0" encoding="utf-8"?>
<comments xmlns="http://schemas.openxmlformats.org/spreadsheetml/2006/main">
  <authors>
    <author>MRD</author>
  </authors>
  <commentList>
    <comment ref="K16" authorId="0">
      <text>
        <r>
          <rPr>
            <b/>
            <sz val="8"/>
            <rFont val="Tahoma"/>
            <family val="0"/>
          </rPr>
          <t>MRD: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the value will be 4.. 
Cell need to be checked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<sst xmlns="http://schemas.openxmlformats.org/spreadsheetml/2006/main" count="3256" uniqueCount="164">
  <si>
    <t>O.P.D Attendance</t>
  </si>
  <si>
    <t>Casualty Attendance</t>
  </si>
  <si>
    <t>Bed Occupancy %</t>
  </si>
  <si>
    <t>Number of Major Surgical Operations</t>
  </si>
  <si>
    <t>Number of Minor Surgical Operations</t>
  </si>
  <si>
    <t>Number of Caesarian Sections</t>
  </si>
  <si>
    <t>X-Ray</t>
  </si>
  <si>
    <t>Special Investigations</t>
  </si>
  <si>
    <t>Microbiology</t>
  </si>
  <si>
    <t>Serology</t>
  </si>
  <si>
    <t>Parasitology</t>
  </si>
  <si>
    <t>Haematology</t>
  </si>
  <si>
    <t>Cytopathology</t>
  </si>
  <si>
    <t>OP</t>
  </si>
  <si>
    <t>IP</t>
  </si>
  <si>
    <t>Ultrasound</t>
  </si>
  <si>
    <t>-</t>
  </si>
  <si>
    <t>Radiology Investigations</t>
  </si>
  <si>
    <t>AVG</t>
  </si>
  <si>
    <t>Remaining Patient</t>
  </si>
  <si>
    <t>No. of Admission</t>
  </si>
  <si>
    <t>No. of Discharge</t>
  </si>
  <si>
    <t>TOTAL</t>
  </si>
  <si>
    <t>DATE</t>
  </si>
  <si>
    <t xml:space="preserve">Histopathology </t>
  </si>
  <si>
    <t>Bio chemistry</t>
  </si>
  <si>
    <t>Number of Normal Deleveries</t>
  </si>
  <si>
    <t>1</t>
  </si>
  <si>
    <t xml:space="preserve">                                     INDIRA GANDHI MEDICAL COLLEGE &amp; RESEARCH INSTITUTE   ---- MEDICAL RECORDS DEPARTMENT</t>
  </si>
  <si>
    <t>MEDICAL RECORD OFFICER</t>
  </si>
  <si>
    <t xml:space="preserve">                                             Clinical Material  for the Month of January -  2011</t>
  </si>
  <si>
    <t xml:space="preserve">        144</t>
  </si>
  <si>
    <t xml:space="preserve">   BIO CHEMISTRY              MICROBIOLOGY                                            PATHOLOGY</t>
  </si>
  <si>
    <t xml:space="preserve">                                             Clinical Material  for the Month of February -  2011</t>
  </si>
  <si>
    <t>Bactriology</t>
  </si>
  <si>
    <t>4</t>
  </si>
  <si>
    <t>5</t>
  </si>
  <si>
    <t xml:space="preserve">           184</t>
  </si>
  <si>
    <t xml:space="preserve">  BIO CHEMISTRY              MICROBIOLOGY                                            PATHOLOGY</t>
  </si>
  <si>
    <t xml:space="preserve">           227</t>
  </si>
  <si>
    <t>2</t>
  </si>
  <si>
    <t>--</t>
  </si>
  <si>
    <t>Endoscopy</t>
  </si>
  <si>
    <t xml:space="preserve">  BIO CHEM.              MICROBIOLOGY                      PATHOLOGY</t>
  </si>
  <si>
    <t xml:space="preserve">                                           INDIRA GANDHI MEDICAL COLLEGE &amp; RESEARCH INSTITUTE   ---- MEDICAL RECORDS DEPARTMENT</t>
  </si>
  <si>
    <t xml:space="preserve"> Clinical Material  for the Month of         April -  2011</t>
  </si>
  <si>
    <t xml:space="preserve">       239</t>
  </si>
  <si>
    <t>NEW BORN-93</t>
  </si>
  <si>
    <t xml:space="preserve">  BIO CHEM.                         MICROBIOLOGY                                              PATHOLOGY</t>
  </si>
  <si>
    <t>(M 47+ F 46)</t>
  </si>
  <si>
    <t xml:space="preserve">        INDIRA GANDHI MEDICAL COLLEGE &amp; RESEARCH INSTITUTE   ---- MEDICAL RECORDS DEPARTMENT</t>
  </si>
  <si>
    <t xml:space="preserve"> Clinical Material  for the Month of March -  2011</t>
  </si>
  <si>
    <t>NEW BORN-135</t>
  </si>
  <si>
    <t>(MALE  70+ FEMALE 65  )</t>
  </si>
  <si>
    <t xml:space="preserve">             208</t>
  </si>
  <si>
    <t xml:space="preserve"> Clinical Material  for the Month of         MAY -  2011</t>
  </si>
  <si>
    <t>Emergency Attendance</t>
  </si>
  <si>
    <t xml:space="preserve">             257</t>
  </si>
  <si>
    <t>NEW BORN-132</t>
  </si>
  <si>
    <t>1 *</t>
  </si>
  <si>
    <t>1+1*</t>
  </si>
  <si>
    <t>19+2*</t>
  </si>
  <si>
    <t>(MALE 72  + FEMALE 60  )</t>
  </si>
  <si>
    <t>Endoscopy &amp; Colonoscopy  *</t>
  </si>
  <si>
    <t xml:space="preserve"> Clinical Material  for the Month of   JUNE -  2011</t>
  </si>
  <si>
    <r>
      <t xml:space="preserve"> Clinical Material  for the Month of   </t>
    </r>
    <r>
      <rPr>
        <b/>
        <sz val="16"/>
        <rFont val="Bookman Old Style"/>
        <family val="1"/>
      </rPr>
      <t>July</t>
    </r>
    <r>
      <rPr>
        <b/>
        <sz val="14"/>
        <rFont val="Bookman Old Style"/>
        <family val="1"/>
      </rPr>
      <t xml:space="preserve"> -  2011</t>
    </r>
  </si>
  <si>
    <t xml:space="preserve"> - </t>
  </si>
  <si>
    <t xml:space="preserve">  BIO CHEM.                         MICROBIOLOGY                                     PATHOLOGY</t>
  </si>
  <si>
    <t>NEW BORN- 127</t>
  </si>
  <si>
    <t>(MALE  68  +   FEMALE  59 )</t>
  </si>
  <si>
    <t xml:space="preserve">           281</t>
  </si>
  <si>
    <t xml:space="preserve">             316</t>
  </si>
  <si>
    <t xml:space="preserve"> Clinical Material  for the Month of  AUG -  2011</t>
  </si>
  <si>
    <t>15(PH)</t>
  </si>
  <si>
    <t>16(PH)</t>
  </si>
  <si>
    <t>31(PH)</t>
  </si>
  <si>
    <t xml:space="preserve">NEW BORN-  66 </t>
  </si>
  <si>
    <t>(MALE  37  + FEMALE  29 )</t>
  </si>
  <si>
    <t>3+1*</t>
  </si>
  <si>
    <t>9+2*</t>
  </si>
  <si>
    <t xml:space="preserve"> Clinical Material  for the Month of  SEPTEMBER -  2011</t>
  </si>
  <si>
    <t xml:space="preserve">             216</t>
  </si>
  <si>
    <t>PATHOLOGY</t>
  </si>
  <si>
    <t>MICROBIOLOGY</t>
  </si>
  <si>
    <t xml:space="preserve">        BIO CHEM                         </t>
  </si>
  <si>
    <t>1*</t>
  </si>
  <si>
    <t>19+1*</t>
  </si>
  <si>
    <t>(MALE  64 + FEMALE  39 )</t>
  </si>
  <si>
    <t>NEW BORN -   103</t>
  </si>
  <si>
    <t xml:space="preserve">             303</t>
  </si>
  <si>
    <t xml:space="preserve"> Clinical Material  for the Month of  OCTOBER -  2011</t>
  </si>
  <si>
    <t xml:space="preserve">       BIO CHEM                                                             </t>
  </si>
  <si>
    <t xml:space="preserve"> </t>
  </si>
  <si>
    <t>31 + 7</t>
  </si>
  <si>
    <t>6 + 1</t>
  </si>
  <si>
    <t>25 + 4</t>
  </si>
  <si>
    <t>34 + 2</t>
  </si>
  <si>
    <t xml:space="preserve">14 + 4 </t>
  </si>
  <si>
    <t>40 + 1</t>
  </si>
  <si>
    <t>51 + 3</t>
  </si>
  <si>
    <t>34 + 3</t>
  </si>
  <si>
    <t>7 + 3</t>
  </si>
  <si>
    <t>44 + 7</t>
  </si>
  <si>
    <t>53 + 4</t>
  </si>
  <si>
    <t>32 + 6</t>
  </si>
  <si>
    <t>43 + 2</t>
  </si>
  <si>
    <t>36 + 4</t>
  </si>
  <si>
    <t>18 + 3</t>
  </si>
  <si>
    <t>16 + 4</t>
  </si>
  <si>
    <t>40 + 3</t>
  </si>
  <si>
    <t>37 + 1</t>
  </si>
  <si>
    <t>36 + 3</t>
  </si>
  <si>
    <t>34 + 1</t>
  </si>
  <si>
    <t>41 + 3</t>
  </si>
  <si>
    <t>24 + 2</t>
  </si>
  <si>
    <t>7 + 4</t>
  </si>
  <si>
    <t>35 + 4</t>
  </si>
  <si>
    <t>14 + 4</t>
  </si>
  <si>
    <t>2 + 3</t>
  </si>
  <si>
    <t>45 + 2</t>
  </si>
  <si>
    <t>58 + 3</t>
  </si>
  <si>
    <t>32 + 4</t>
  </si>
  <si>
    <t>12 + 3</t>
  </si>
  <si>
    <t>38 + 6</t>
  </si>
  <si>
    <t>No. of Admission
          +
 New Born</t>
  </si>
  <si>
    <t>939 + 104*</t>
  </si>
  <si>
    <t xml:space="preserve">NEW BORN-  104*   </t>
  </si>
  <si>
    <t xml:space="preserve"> Clinical Material  for the Month of  NOVEMBER -  2011</t>
  </si>
  <si>
    <t>( MALE  48 + FEMALE  56 )</t>
  </si>
  <si>
    <t xml:space="preserve">     ENDOSCOPY  - 18</t>
  </si>
  <si>
    <t xml:space="preserve">  </t>
  </si>
  <si>
    <t>69+2</t>
  </si>
  <si>
    <t>47+5</t>
  </si>
  <si>
    <t>44+4</t>
  </si>
  <si>
    <t>10+3</t>
  </si>
  <si>
    <t>50+2</t>
  </si>
  <si>
    <t>38+3</t>
  </si>
  <si>
    <t>42+9</t>
  </si>
  <si>
    <t>45+4</t>
  </si>
  <si>
    <t>35+5</t>
  </si>
  <si>
    <t>9+3</t>
  </si>
  <si>
    <t>45+1</t>
  </si>
  <si>
    <t>52+8</t>
  </si>
  <si>
    <t>24+1</t>
  </si>
  <si>
    <t>23+5</t>
  </si>
  <si>
    <t>32+4</t>
  </si>
  <si>
    <t>7+5</t>
  </si>
  <si>
    <t>46+3</t>
  </si>
  <si>
    <t>46+5</t>
  </si>
  <si>
    <t>30+3</t>
  </si>
  <si>
    <t>30+4</t>
  </si>
  <si>
    <t>13+4</t>
  </si>
  <si>
    <t>5+2</t>
  </si>
  <si>
    <t>31+3</t>
  </si>
  <si>
    <t>56+1</t>
  </si>
  <si>
    <t>20+3</t>
  </si>
  <si>
    <t xml:space="preserve">NEW BORN-   102 *   </t>
  </si>
  <si>
    <t>(  MALE  52  + FEMALE  50  )</t>
  </si>
  <si>
    <t>1016 + 102*</t>
  </si>
  <si>
    <t>49+5</t>
  </si>
  <si>
    <t>25+2</t>
  </si>
  <si>
    <t xml:space="preserve">                         273</t>
  </si>
  <si>
    <t>Avg</t>
  </si>
  <si>
    <t>avg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</si>
</sst>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[$-409]dddd\,\ mmmm\ dd\,\ yyyy"/>
    <numFmt numFmtId="177" formatCode="0.0%"/>
    <numFmt numFmtId="178" formatCode="0.000%"/>
    <numFmt numFmtId="179" formatCode="0.0000%"/>
    <numFmt numFmtId="180" formatCode="0.00000%"/>
    <numFmt numFmtId="181" formatCode="0;[Red]0"/>
    <numFmt numFmtId="182" formatCode="[$-409]h:mm:ss\ AM/PM"/>
    <numFmt numFmtId="183" formatCode="0.0000000"/>
    <numFmt numFmtId="184" formatCode="0.000000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u val="single"/>
      <sz val="14"/>
      <name val="Bookman Old Style"/>
      <family val="1"/>
    </font>
    <font>
      <b/>
      <sz val="10"/>
      <name val="Arial"/>
      <family val="2"/>
    </font>
    <font>
      <b/>
      <u val="single"/>
      <sz val="12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b/>
      <sz val="12"/>
      <name val="Arial"/>
      <family val="2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4"/>
      <name val="Arial"/>
      <family val="0"/>
    </font>
    <font>
      <b/>
      <sz val="16"/>
      <name val="Arial"/>
      <family val="2"/>
    </font>
    <font>
      <sz val="14"/>
      <name val="Arial Black"/>
      <family val="2"/>
    </font>
    <font>
      <b/>
      <sz val="11"/>
      <name val="Bookman Old Style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ahoma"/>
      <family val="2"/>
    </font>
    <font>
      <b/>
      <sz val="14"/>
      <name val="MS Reference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2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" fontId="2" fillId="32" borderId="14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32" borderId="19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32" borderId="19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2" xfId="0" applyFont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textRotation="90" wrapText="1"/>
    </xf>
    <xf numFmtId="0" fontId="5" fillId="0" borderId="49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9" xfId="0" applyNumberFormat="1" applyFont="1" applyFill="1" applyBorder="1" applyAlignment="1">
      <alignment horizontal="center" vertical="center"/>
    </xf>
    <xf numFmtId="0" fontId="11" fillId="32" borderId="12" xfId="0" applyNumberFormat="1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40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1" fontId="11" fillId="0" borderId="5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1" fontId="11" fillId="0" borderId="51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54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44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55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32" borderId="57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1" fillId="0" borderId="41" xfId="0" applyFont="1" applyBorder="1" applyAlignment="1">
      <alignment horizontal="center" vertical="center"/>
    </xf>
    <xf numFmtId="0" fontId="12" fillId="32" borderId="56" xfId="0" applyFont="1" applyFill="1" applyBorder="1" applyAlignment="1">
      <alignment horizontal="center"/>
    </xf>
    <xf numFmtId="0" fontId="12" fillId="32" borderId="43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2" fillId="32" borderId="43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1" fontId="11" fillId="32" borderId="31" xfId="0" applyNumberFormat="1" applyFont="1" applyFill="1" applyBorder="1" applyAlignment="1">
      <alignment horizontal="center" vertical="center"/>
    </xf>
    <xf numFmtId="0" fontId="11" fillId="32" borderId="43" xfId="0" applyFont="1" applyFill="1" applyBorder="1" applyAlignment="1">
      <alignment horizontal="center" vertical="center"/>
    </xf>
    <xf numFmtId="0" fontId="11" fillId="32" borderId="44" xfId="0" applyNumberFormat="1" applyFont="1" applyFill="1" applyBorder="1" applyAlignment="1">
      <alignment horizontal="center" vertical="center"/>
    </xf>
    <xf numFmtId="49" fontId="11" fillId="32" borderId="16" xfId="0" applyNumberFormat="1" applyFont="1" applyFill="1" applyBorder="1" applyAlignment="1">
      <alignment horizontal="center" vertical="center"/>
    </xf>
    <xf numFmtId="49" fontId="11" fillId="32" borderId="44" xfId="0" applyNumberFormat="1" applyFont="1" applyFill="1" applyBorder="1" applyAlignment="1">
      <alignment horizontal="center" vertical="center"/>
    </xf>
    <xf numFmtId="0" fontId="11" fillId="32" borderId="43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1" fillId="0" borderId="59" xfId="0" applyFont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24" xfId="0" applyFont="1" applyBorder="1" applyAlignment="1">
      <alignment horizontal="center" vertical="center"/>
    </xf>
    <xf numFmtId="0" fontId="11" fillId="32" borderId="37" xfId="0" applyNumberFormat="1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32" borderId="6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32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32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32" borderId="19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1" fontId="11" fillId="32" borderId="38" xfId="0" applyNumberFormat="1" applyFont="1" applyFill="1" applyBorder="1" applyAlignment="1">
      <alignment horizontal="center" vertical="center"/>
    </xf>
    <xf numFmtId="0" fontId="11" fillId="32" borderId="38" xfId="0" applyFont="1" applyFill="1" applyBorder="1" applyAlignment="1">
      <alignment horizontal="center" vertical="center"/>
    </xf>
    <xf numFmtId="0" fontId="11" fillId="32" borderId="40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11" fillId="0" borderId="63" xfId="0" applyNumberFormat="1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textRotation="90" wrapText="1"/>
    </xf>
    <xf numFmtId="0" fontId="10" fillId="0" borderId="64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49" fontId="11" fillId="0" borderId="66" xfId="0" applyNumberFormat="1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0" fontId="12" fillId="32" borderId="41" xfId="0" applyFont="1" applyFill="1" applyBorder="1" applyAlignment="1">
      <alignment horizontal="center"/>
    </xf>
    <xf numFmtId="0" fontId="11" fillId="32" borderId="67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32" borderId="63" xfId="0" applyNumberFormat="1" applyFont="1" applyFill="1" applyBorder="1" applyAlignment="1">
      <alignment horizontal="center" vertical="center"/>
    </xf>
    <xf numFmtId="49" fontId="11" fillId="0" borderId="63" xfId="0" applyNumberFormat="1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1" fillId="32" borderId="69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32" borderId="6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32" borderId="3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9" xfId="0" applyNumberFormat="1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49" fontId="11" fillId="33" borderId="43" xfId="0" applyNumberFormat="1" applyFont="1" applyFill="1" applyBorder="1" applyAlignment="1">
      <alignment horizontal="center" vertical="center"/>
    </xf>
    <xf numFmtId="49" fontId="11" fillId="33" borderId="44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12" fillId="33" borderId="3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center" vertical="center"/>
    </xf>
    <xf numFmtId="0" fontId="11" fillId="33" borderId="70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 vertical="center"/>
    </xf>
    <xf numFmtId="49" fontId="11" fillId="0" borderId="68" xfId="0" applyNumberFormat="1" applyFont="1" applyFill="1" applyBorder="1" applyAlignment="1">
      <alignment horizontal="center" vertical="center"/>
    </xf>
    <xf numFmtId="0" fontId="12" fillId="34" borderId="57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9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" fontId="11" fillId="0" borderId="64" xfId="0" applyNumberFormat="1" applyFont="1" applyFill="1" applyBorder="1" applyAlignment="1">
      <alignment horizontal="center" vertical="center"/>
    </xf>
    <xf numFmtId="1" fontId="11" fillId="33" borderId="64" xfId="0" applyNumberFormat="1" applyFont="1" applyFill="1" applyBorder="1" applyAlignment="1">
      <alignment horizontal="center" vertical="center"/>
    </xf>
    <xf numFmtId="1" fontId="11" fillId="34" borderId="64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2" fillId="0" borderId="72" xfId="0" applyNumberFormat="1" applyFont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0" fontId="11" fillId="0" borderId="57" xfId="0" applyNumberFormat="1" applyFont="1" applyFill="1" applyBorder="1" applyAlignment="1">
      <alignment horizontal="center" vertical="center"/>
    </xf>
    <xf numFmtId="0" fontId="11" fillId="0" borderId="73" xfId="0" applyNumberFormat="1" applyFont="1" applyFill="1" applyBorder="1" applyAlignment="1">
      <alignment horizontal="center" vertical="center"/>
    </xf>
    <xf numFmtId="0" fontId="11" fillId="0" borderId="58" xfId="0" applyNumberFormat="1" applyFont="1" applyFill="1" applyBorder="1" applyAlignment="1">
      <alignment horizontal="center" vertical="center"/>
    </xf>
    <xf numFmtId="0" fontId="11" fillId="0" borderId="67" xfId="0" applyNumberFormat="1" applyFont="1" applyFill="1" applyBorder="1" applyAlignment="1">
      <alignment horizontal="center" vertical="center"/>
    </xf>
    <xf numFmtId="0" fontId="11" fillId="33" borderId="57" xfId="0" applyNumberFormat="1" applyFont="1" applyFill="1" applyBorder="1" applyAlignment="1">
      <alignment horizontal="center" vertical="center"/>
    </xf>
    <xf numFmtId="0" fontId="11" fillId="0" borderId="71" xfId="0" applyNumberFormat="1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/>
    </xf>
    <xf numFmtId="0" fontId="11" fillId="0" borderId="7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42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71" xfId="0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49" fontId="11" fillId="33" borderId="45" xfId="0" applyNumberFormat="1" applyFont="1" applyFill="1" applyBorder="1" applyAlignment="1">
      <alignment horizontal="center" vertical="center"/>
    </xf>
    <xf numFmtId="0" fontId="2" fillId="0" borderId="71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11" fillId="33" borderId="28" xfId="0" applyNumberFormat="1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78" xfId="0" applyNumberFormat="1" applyFont="1" applyFill="1" applyBorder="1" applyAlignment="1">
      <alignment horizontal="center" vertical="center"/>
    </xf>
    <xf numFmtId="0" fontId="11" fillId="33" borderId="33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1" fillId="33" borderId="74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79" xfId="0" applyFont="1" applyFill="1" applyBorder="1" applyAlignment="1">
      <alignment/>
    </xf>
    <xf numFmtId="0" fontId="12" fillId="0" borderId="80" xfId="0" applyFont="1" applyFill="1" applyBorder="1" applyAlignment="1">
      <alignment horizontal="center"/>
    </xf>
    <xf numFmtId="0" fontId="12" fillId="0" borderId="81" xfId="0" applyFont="1" applyFill="1" applyBorder="1" applyAlignment="1">
      <alignment horizontal="center"/>
    </xf>
    <xf numFmtId="0" fontId="12" fillId="33" borderId="8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" fontId="19" fillId="0" borderId="64" xfId="0" applyNumberFormat="1" applyFont="1" applyFill="1" applyBorder="1" applyAlignment="1">
      <alignment horizontal="center" vertical="center"/>
    </xf>
    <xf numFmtId="0" fontId="19" fillId="0" borderId="44" xfId="0" applyNumberFormat="1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9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" fontId="19" fillId="33" borderId="64" xfId="0" applyNumberFormat="1" applyFont="1" applyFill="1" applyBorder="1" applyAlignment="1">
      <alignment horizontal="center" vertical="center"/>
    </xf>
    <xf numFmtId="0" fontId="19" fillId="33" borderId="19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8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6" xfId="0" applyNumberFormat="1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82" xfId="0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center" vertical="center"/>
    </xf>
    <xf numFmtId="49" fontId="19" fillId="0" borderId="50" xfId="0" applyNumberFormat="1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1" fontId="19" fillId="0" borderId="51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33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" fontId="11" fillId="0" borderId="41" xfId="0" applyNumberFormat="1" applyFont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7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0" borderId="70" xfId="0" applyFont="1" applyBorder="1" applyAlignment="1">
      <alignment horizontal="center" textRotation="90" wrapText="1"/>
    </xf>
    <xf numFmtId="0" fontId="7" fillId="0" borderId="84" xfId="0" applyFont="1" applyBorder="1" applyAlignment="1">
      <alignment horizontal="center" textRotation="90" wrapText="1"/>
    </xf>
    <xf numFmtId="0" fontId="7" fillId="0" borderId="85" xfId="0" applyFont="1" applyBorder="1" applyAlignment="1">
      <alignment horizontal="center" textRotation="90" wrapText="1"/>
    </xf>
    <xf numFmtId="0" fontId="7" fillId="0" borderId="86" xfId="0" applyFont="1" applyBorder="1" applyAlignment="1">
      <alignment horizontal="center" textRotation="90" wrapText="1"/>
    </xf>
    <xf numFmtId="0" fontId="7" fillId="0" borderId="8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9" fontId="7" fillId="0" borderId="87" xfId="0" applyNumberFormat="1" applyFont="1" applyFill="1" applyBorder="1" applyAlignment="1">
      <alignment horizontal="center" vertical="center" textRotation="90" wrapText="1"/>
    </xf>
    <xf numFmtId="9" fontId="7" fillId="0" borderId="14" xfId="0" applyNumberFormat="1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74" xfId="0" applyFont="1" applyBorder="1" applyAlignment="1">
      <alignment horizontal="center" vertical="center" textRotation="90"/>
    </xf>
    <xf numFmtId="0" fontId="7" fillId="0" borderId="88" xfId="0" applyFont="1" applyBorder="1" applyAlignment="1">
      <alignment horizontal="center" vertical="center" textRotation="90"/>
    </xf>
    <xf numFmtId="49" fontId="7" fillId="0" borderId="89" xfId="0" applyNumberFormat="1" applyFont="1" applyBorder="1" applyAlignment="1">
      <alignment horizontal="center" vertical="center" textRotation="91"/>
    </xf>
    <xf numFmtId="49" fontId="7" fillId="0" borderId="74" xfId="0" applyNumberFormat="1" applyFont="1" applyBorder="1" applyAlignment="1">
      <alignment horizontal="center" vertical="center" textRotation="91"/>
    </xf>
    <xf numFmtId="49" fontId="7" fillId="0" borderId="88" xfId="0" applyNumberFormat="1" applyFont="1" applyBorder="1" applyAlignment="1">
      <alignment horizontal="center" vertical="center" textRotation="91"/>
    </xf>
    <xf numFmtId="0" fontId="7" fillId="0" borderId="89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81" xfId="0" applyFont="1" applyBorder="1" applyAlignment="1">
      <alignment horizontal="center" vertical="center" textRotation="90"/>
    </xf>
    <xf numFmtId="49" fontId="7" fillId="0" borderId="90" xfId="0" applyNumberFormat="1" applyFont="1" applyBorder="1" applyAlignment="1">
      <alignment horizontal="center" vertical="center" textRotation="91"/>
    </xf>
    <xf numFmtId="49" fontId="7" fillId="0" borderId="66" xfId="0" applyNumberFormat="1" applyFont="1" applyBorder="1" applyAlignment="1">
      <alignment horizontal="center" vertical="center" textRotation="91"/>
    </xf>
    <xf numFmtId="49" fontId="7" fillId="0" borderId="91" xfId="0" applyNumberFormat="1" applyFont="1" applyBorder="1" applyAlignment="1">
      <alignment horizontal="center" vertical="center" textRotation="91"/>
    </xf>
    <xf numFmtId="0" fontId="7" fillId="0" borderId="90" xfId="0" applyFont="1" applyBorder="1" applyAlignment="1">
      <alignment horizontal="center" vertical="center" textRotation="90"/>
    </xf>
    <xf numFmtId="0" fontId="7" fillId="0" borderId="66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9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93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0" xfId="0" applyFont="1" applyBorder="1" applyAlignment="1">
      <alignment horizontal="left" vertical="center"/>
    </xf>
    <xf numFmtId="0" fontId="7" fillId="0" borderId="94" xfId="0" applyFont="1" applyBorder="1" applyAlignment="1">
      <alignment horizontal="left" vertical="center"/>
    </xf>
    <xf numFmtId="0" fontId="7" fillId="0" borderId="83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 vertical="center" textRotation="90"/>
    </xf>
    <xf numFmtId="0" fontId="7" fillId="0" borderId="28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textRotation="90" wrapText="1"/>
    </xf>
    <xf numFmtId="0" fontId="7" fillId="0" borderId="50" xfId="0" applyFont="1" applyBorder="1" applyAlignment="1">
      <alignment horizontal="center" textRotation="90" wrapText="1"/>
    </xf>
    <xf numFmtId="0" fontId="7" fillId="0" borderId="23" xfId="0" applyFont="1" applyBorder="1" applyAlignment="1">
      <alignment horizontal="center" textRotation="90" wrapText="1"/>
    </xf>
    <xf numFmtId="0" fontId="7" fillId="0" borderId="20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9" fontId="7" fillId="0" borderId="95" xfId="0" applyNumberFormat="1" applyFont="1" applyFill="1" applyBorder="1" applyAlignment="1">
      <alignment horizontal="center" vertical="center" textRotation="90" wrapText="1"/>
    </xf>
    <xf numFmtId="9" fontId="7" fillId="0" borderId="22" xfId="0" applyNumberFormat="1" applyFont="1" applyFill="1" applyBorder="1" applyAlignment="1">
      <alignment horizontal="center" vertical="center" textRotation="90" wrapText="1"/>
    </xf>
    <xf numFmtId="0" fontId="7" fillId="0" borderId="71" xfId="0" applyFont="1" applyBorder="1" applyAlignment="1">
      <alignment horizontal="center" vertical="center" textRotation="90"/>
    </xf>
    <xf numFmtId="0" fontId="7" fillId="0" borderId="72" xfId="0" applyFont="1" applyBorder="1" applyAlignment="1">
      <alignment horizontal="center" vertical="center" textRotation="90"/>
    </xf>
    <xf numFmtId="0" fontId="7" fillId="0" borderId="96" xfId="0" applyFont="1" applyBorder="1" applyAlignment="1">
      <alignment horizontal="center" vertical="center" textRotation="90"/>
    </xf>
    <xf numFmtId="49" fontId="2" fillId="0" borderId="97" xfId="0" applyNumberFormat="1" applyFont="1" applyBorder="1" applyAlignment="1">
      <alignment horizontal="center" vertical="center" textRotation="91"/>
    </xf>
    <xf numFmtId="49" fontId="2" fillId="0" borderId="72" xfId="0" applyNumberFormat="1" applyFont="1" applyBorder="1" applyAlignment="1">
      <alignment horizontal="center" vertical="center" textRotation="91"/>
    </xf>
    <xf numFmtId="49" fontId="2" fillId="0" borderId="96" xfId="0" applyNumberFormat="1" applyFont="1" applyBorder="1" applyAlignment="1">
      <alignment horizontal="center" vertical="center" textRotation="91"/>
    </xf>
    <xf numFmtId="0" fontId="7" fillId="0" borderId="97" xfId="0" applyFont="1" applyBorder="1" applyAlignment="1">
      <alignment horizontal="center" vertical="center" textRotation="90"/>
    </xf>
    <xf numFmtId="0" fontId="7" fillId="0" borderId="68" xfId="0" applyFont="1" applyBorder="1" applyAlignment="1">
      <alignment horizontal="center" vertical="center" textRotation="90"/>
    </xf>
    <xf numFmtId="0" fontId="7" fillId="0" borderId="83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center" textRotation="90" wrapText="1"/>
    </xf>
    <xf numFmtId="0" fontId="7" fillId="0" borderId="50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9" fontId="2" fillId="0" borderId="31" xfId="0" applyNumberFormat="1" applyFont="1" applyFill="1" applyBorder="1" applyAlignment="1">
      <alignment horizontal="center" vertical="center" textRotation="90" wrapText="1"/>
    </xf>
    <xf numFmtId="9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98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49" fontId="2" fillId="0" borderId="68" xfId="0" applyNumberFormat="1" applyFont="1" applyBorder="1" applyAlignment="1">
      <alignment horizontal="center" vertical="center" textRotation="9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93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/>
    </xf>
    <xf numFmtId="0" fontId="2" fillId="0" borderId="67" xfId="0" applyFont="1" applyBorder="1" applyAlignment="1">
      <alignment horizontal="center" vertical="center" textRotation="90"/>
    </xf>
    <xf numFmtId="0" fontId="2" fillId="0" borderId="50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38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49" fontId="10" fillId="0" borderId="72" xfId="0" applyNumberFormat="1" applyFont="1" applyBorder="1" applyAlignment="1">
      <alignment horizontal="center" vertical="center" textRotation="91"/>
    </xf>
    <xf numFmtId="49" fontId="10" fillId="0" borderId="68" xfId="0" applyNumberFormat="1" applyFont="1" applyBorder="1" applyAlignment="1">
      <alignment horizontal="center" vertical="center" textRotation="91"/>
    </xf>
    <xf numFmtId="0" fontId="11" fillId="0" borderId="0" xfId="0" applyFont="1" applyAlignment="1">
      <alignment horizontal="center" vertical="center"/>
    </xf>
    <xf numFmtId="49" fontId="11" fillId="0" borderId="72" xfId="0" applyNumberFormat="1" applyFont="1" applyBorder="1" applyAlignment="1">
      <alignment horizontal="center" textRotation="91"/>
    </xf>
    <xf numFmtId="49" fontId="11" fillId="0" borderId="64" xfId="0" applyNumberFormat="1" applyFont="1" applyBorder="1" applyAlignment="1">
      <alignment horizontal="center" textRotation="91"/>
    </xf>
    <xf numFmtId="0" fontId="2" fillId="0" borderId="83" xfId="0" applyFont="1" applyBorder="1" applyAlignment="1">
      <alignment horizontal="center" vertical="center" textRotation="90" wrapText="1"/>
    </xf>
    <xf numFmtId="0" fontId="10" fillId="0" borderId="5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2" fillId="0" borderId="94" xfId="0" applyFont="1" applyBorder="1" applyAlignment="1">
      <alignment horizontal="center" textRotation="90" wrapText="1"/>
    </xf>
    <xf numFmtId="0" fontId="2" fillId="0" borderId="92" xfId="0" applyFont="1" applyBorder="1" applyAlignment="1">
      <alignment horizontal="center" textRotation="90" wrapText="1"/>
    </xf>
    <xf numFmtId="0" fontId="2" fillId="0" borderId="56" xfId="0" applyFont="1" applyBorder="1" applyAlignment="1">
      <alignment horizontal="center" textRotation="90" wrapText="1"/>
    </xf>
    <xf numFmtId="0" fontId="2" fillId="0" borderId="67" xfId="0" applyFont="1" applyBorder="1" applyAlignment="1">
      <alignment horizont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9" fontId="2" fillId="0" borderId="56" xfId="0" applyNumberFormat="1" applyFont="1" applyFill="1" applyBorder="1" applyAlignment="1">
      <alignment horizontal="center" vertical="center" textRotation="90" wrapText="1"/>
    </xf>
    <xf numFmtId="9" fontId="2" fillId="0" borderId="67" xfId="0" applyNumberFormat="1" applyFont="1" applyFill="1" applyBorder="1" applyAlignment="1">
      <alignment horizontal="center" vertical="center" textRotation="90" wrapText="1"/>
    </xf>
    <xf numFmtId="0" fontId="2" fillId="0" borderId="94" xfId="0" applyFont="1" applyBorder="1" applyAlignment="1">
      <alignment horizontal="center" vertical="center" textRotation="90" wrapText="1"/>
    </xf>
    <xf numFmtId="0" fontId="2" fillId="0" borderId="92" xfId="0" applyFont="1" applyBorder="1" applyAlignment="1">
      <alignment horizontal="center" vertical="center" textRotation="90" wrapText="1"/>
    </xf>
    <xf numFmtId="0" fontId="2" fillId="0" borderId="80" xfId="0" applyFont="1" applyBorder="1" applyAlignment="1">
      <alignment horizontal="center" vertical="center" textRotation="90" wrapText="1"/>
    </xf>
    <xf numFmtId="0" fontId="10" fillId="0" borderId="80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10" fillId="0" borderId="83" xfId="0" applyFont="1" applyBorder="1" applyAlignment="1">
      <alignment horizontal="left" vertical="center"/>
    </xf>
    <xf numFmtId="0" fontId="2" fillId="0" borderId="9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49" fontId="10" fillId="0" borderId="71" xfId="0" applyNumberFormat="1" applyFont="1" applyBorder="1" applyAlignment="1">
      <alignment horizontal="center" textRotation="91"/>
    </xf>
    <xf numFmtId="49" fontId="10" fillId="0" borderId="72" xfId="0" applyNumberFormat="1" applyFont="1" applyBorder="1" applyAlignment="1">
      <alignment horizontal="center" textRotation="91"/>
    </xf>
    <xf numFmtId="49" fontId="10" fillId="0" borderId="68" xfId="0" applyNumberFormat="1" applyFont="1" applyBorder="1" applyAlignment="1">
      <alignment horizontal="center" textRotation="9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65" xfId="0" applyFont="1" applyBorder="1" applyAlignment="1">
      <alignment horizontal="center" vertical="center" textRotation="90" wrapText="1"/>
    </xf>
    <xf numFmtId="0" fontId="7" fillId="0" borderId="100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80" xfId="0" applyFont="1" applyBorder="1" applyAlignment="1">
      <alignment horizontal="center" textRotation="90" wrapText="1"/>
    </xf>
    <xf numFmtId="0" fontId="2" fillId="0" borderId="98" xfId="0" applyFont="1" applyBorder="1" applyAlignment="1">
      <alignment horizont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9" fontId="2" fillId="0" borderId="100" xfId="0" applyNumberFormat="1" applyFont="1" applyFill="1" applyBorder="1" applyAlignment="1">
      <alignment horizontal="center" vertical="center" textRotation="90" wrapText="1"/>
    </xf>
    <xf numFmtId="9" fontId="2" fillId="0" borderId="41" xfId="0" applyNumberFormat="1" applyFont="1" applyFill="1" applyBorder="1" applyAlignment="1">
      <alignment horizontal="center" vertical="center" textRotation="90" wrapText="1"/>
    </xf>
    <xf numFmtId="0" fontId="2" fillId="0" borderId="71" xfId="0" applyFont="1" applyBorder="1" applyAlignment="1">
      <alignment horizontal="center" vertical="center" textRotation="90" wrapText="1"/>
    </xf>
    <xf numFmtId="0" fontId="2" fillId="0" borderId="68" xfId="0" applyFont="1" applyBorder="1" applyAlignment="1">
      <alignment horizontal="center" vertical="center" textRotation="90" wrapText="1"/>
    </xf>
    <xf numFmtId="0" fontId="5" fillId="0" borderId="7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 textRotation="90" wrapText="1"/>
    </xf>
    <xf numFmtId="0" fontId="15" fillId="0" borderId="41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68" xfId="0" applyBorder="1" applyAlignment="1">
      <alignment/>
    </xf>
    <xf numFmtId="0" fontId="2" fillId="0" borderId="72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72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7" fillId="0" borderId="71" xfId="0" applyFont="1" applyFill="1" applyBorder="1" applyAlignment="1">
      <alignment horizontal="center" vertical="center" textRotation="90"/>
    </xf>
    <xf numFmtId="0" fontId="7" fillId="0" borderId="72" xfId="0" applyFont="1" applyFill="1" applyBorder="1" applyAlignment="1">
      <alignment horizontal="center" vertical="center" textRotation="90"/>
    </xf>
    <xf numFmtId="0" fontId="7" fillId="0" borderId="68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67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textRotation="90" wrapText="1"/>
    </xf>
    <xf numFmtId="0" fontId="2" fillId="0" borderId="23" xfId="0" applyFont="1" applyFill="1" applyBorder="1" applyAlignment="1">
      <alignment horizontal="center" textRotation="90" wrapText="1"/>
    </xf>
    <xf numFmtId="0" fontId="2" fillId="0" borderId="31" xfId="0" applyFont="1" applyFill="1" applyBorder="1" applyAlignment="1">
      <alignment horizontal="center" textRotation="90" wrapText="1"/>
    </xf>
    <xf numFmtId="0" fontId="2" fillId="0" borderId="38" xfId="0" applyFont="1" applyFill="1" applyBorder="1" applyAlignment="1">
      <alignment horizontal="center" textRotation="90" wrapText="1"/>
    </xf>
    <xf numFmtId="0" fontId="2" fillId="0" borderId="94" xfId="0" applyFont="1" applyFill="1" applyBorder="1" applyAlignment="1">
      <alignment horizontal="center" textRotation="90" wrapText="1"/>
    </xf>
    <xf numFmtId="0" fontId="2" fillId="0" borderId="92" xfId="0" applyFont="1" applyFill="1" applyBorder="1" applyAlignment="1">
      <alignment horizontal="center" textRotation="90" wrapText="1"/>
    </xf>
    <xf numFmtId="0" fontId="2" fillId="0" borderId="80" xfId="0" applyFont="1" applyFill="1" applyBorder="1" applyAlignment="1">
      <alignment horizontal="center" textRotation="90" wrapText="1"/>
    </xf>
    <xf numFmtId="0" fontId="2" fillId="0" borderId="98" xfId="0" applyFont="1" applyFill="1" applyBorder="1" applyAlignment="1">
      <alignment horizontal="center" textRotation="90" wrapText="1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 textRotation="90" wrapText="1"/>
    </xf>
    <xf numFmtId="0" fontId="2" fillId="0" borderId="68" xfId="0" applyFont="1" applyFill="1" applyBorder="1" applyAlignment="1">
      <alignment horizontal="center" vertical="center" textRotation="90" wrapTex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textRotation="91"/>
    </xf>
    <xf numFmtId="49" fontId="10" fillId="0" borderId="72" xfId="0" applyNumberFormat="1" applyFont="1" applyFill="1" applyBorder="1" applyAlignment="1">
      <alignment horizontal="center" textRotation="91"/>
    </xf>
    <xf numFmtId="49" fontId="10" fillId="0" borderId="68" xfId="0" applyNumberFormat="1" applyFont="1" applyFill="1" applyBorder="1" applyAlignment="1">
      <alignment horizontal="center" textRotation="9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 wrapText="1"/>
    </xf>
    <xf numFmtId="0" fontId="7" fillId="0" borderId="64" xfId="0" applyFont="1" applyFill="1" applyBorder="1" applyAlignment="1">
      <alignment horizontal="center" vertical="center" textRotation="90" wrapText="1"/>
    </xf>
    <xf numFmtId="0" fontId="7" fillId="0" borderId="65" xfId="0" applyFont="1" applyFill="1" applyBorder="1" applyAlignment="1">
      <alignment horizontal="center" vertical="center" textRotation="90" wrapText="1"/>
    </xf>
    <xf numFmtId="0" fontId="2" fillId="0" borderId="80" xfId="0" applyFont="1" applyFill="1" applyBorder="1" applyAlignment="1">
      <alignment horizontal="center" vertical="center" textRotation="90" wrapText="1"/>
    </xf>
    <xf numFmtId="0" fontId="2" fillId="0" borderId="98" xfId="0" applyFont="1" applyFill="1" applyBorder="1" applyAlignment="1">
      <alignment horizontal="center" vertical="center" textRotation="90" wrapText="1"/>
    </xf>
    <xf numFmtId="0" fontId="2" fillId="0" borderId="94" xfId="0" applyFont="1" applyFill="1" applyBorder="1" applyAlignment="1">
      <alignment horizontal="center" vertical="center" textRotation="90" wrapText="1"/>
    </xf>
    <xf numFmtId="0" fontId="2" fillId="0" borderId="92" xfId="0" applyFont="1" applyFill="1" applyBorder="1" applyAlignment="1">
      <alignment horizontal="center" vertical="center" textRotation="90" wrapText="1"/>
    </xf>
    <xf numFmtId="0" fontId="7" fillId="0" borderId="83" xfId="0" applyFont="1" applyFill="1" applyBorder="1" applyAlignment="1">
      <alignment horizontal="center" vertical="center" textRotation="90" wrapText="1"/>
    </xf>
    <xf numFmtId="0" fontId="7" fillId="0" borderId="77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1" fontId="11" fillId="0" borderId="51" xfId="0" applyNumberFormat="1" applyFont="1" applyFill="1" applyBorder="1" applyAlignment="1">
      <alignment horizontal="center" vertical="center"/>
    </xf>
    <xf numFmtId="1" fontId="12" fillId="35" borderId="0" xfId="0" applyNumberFormat="1" applyFont="1" applyFill="1" applyAlignment="1">
      <alignment/>
    </xf>
    <xf numFmtId="1" fontId="5" fillId="35" borderId="0" xfId="0" applyNumberFormat="1" applyFont="1" applyFill="1" applyAlignment="1">
      <alignment/>
    </xf>
    <xf numFmtId="1" fontId="13" fillId="35" borderId="0" xfId="0" applyNumberFormat="1" applyFont="1" applyFill="1" applyAlignment="1">
      <alignment horizontal="center"/>
    </xf>
    <xf numFmtId="1" fontId="11" fillId="35" borderId="27" xfId="0" applyNumberFormat="1" applyFont="1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1" fontId="12" fillId="35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3</xdr:row>
      <xdr:rowOff>19050</xdr:rowOff>
    </xdr:to>
    <xdr:sp>
      <xdr:nvSpPr>
        <xdr:cNvPr id="1" name="Line 2"/>
        <xdr:cNvSpPr>
          <a:spLocks/>
        </xdr:cNvSpPr>
      </xdr:nvSpPr>
      <xdr:spPr>
        <a:xfrm flipV="1">
          <a:off x="8867775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200025</xdr:rowOff>
    </xdr:from>
    <xdr:to>
      <xdr:col>25</xdr:col>
      <xdr:colOff>0</xdr:colOff>
      <xdr:row>3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11049000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40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15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5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15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40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15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15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15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9" name="Line 11"/>
        <xdr:cNvSpPr>
          <a:spLocks/>
        </xdr:cNvSpPr>
      </xdr:nvSpPr>
      <xdr:spPr>
        <a:xfrm>
          <a:off x="31527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10" name="Line 15"/>
        <xdr:cNvSpPr>
          <a:spLocks/>
        </xdr:cNvSpPr>
      </xdr:nvSpPr>
      <xdr:spPr>
        <a:xfrm>
          <a:off x="31527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7"/>
        <xdr:cNvSpPr>
          <a:spLocks/>
        </xdr:cNvSpPr>
      </xdr:nvSpPr>
      <xdr:spPr>
        <a:xfrm flipV="1"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V="1">
          <a:off x="1360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 flipV="1">
          <a:off x="1099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21"/>
        <xdr:cNvSpPr>
          <a:spLocks/>
        </xdr:cNvSpPr>
      </xdr:nvSpPr>
      <xdr:spPr>
        <a:xfrm flipV="1">
          <a:off x="591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22"/>
        <xdr:cNvSpPr>
          <a:spLocks/>
        </xdr:cNvSpPr>
      </xdr:nvSpPr>
      <xdr:spPr>
        <a:xfrm flipV="1">
          <a:off x="1360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" name="Line 23"/>
        <xdr:cNvSpPr>
          <a:spLocks/>
        </xdr:cNvSpPr>
      </xdr:nvSpPr>
      <xdr:spPr>
        <a:xfrm>
          <a:off x="1195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" name="Line 24"/>
        <xdr:cNvSpPr>
          <a:spLocks/>
        </xdr:cNvSpPr>
      </xdr:nvSpPr>
      <xdr:spPr>
        <a:xfrm flipV="1">
          <a:off x="1099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3</xdr:row>
      <xdr:rowOff>9525</xdr:rowOff>
    </xdr:to>
    <xdr:sp>
      <xdr:nvSpPr>
        <xdr:cNvPr id="19" name="Line 27"/>
        <xdr:cNvSpPr>
          <a:spLocks/>
        </xdr:cNvSpPr>
      </xdr:nvSpPr>
      <xdr:spPr>
        <a:xfrm>
          <a:off x="119538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3</xdr:row>
      <xdr:rowOff>9525</xdr:rowOff>
    </xdr:to>
    <xdr:sp>
      <xdr:nvSpPr>
        <xdr:cNvPr id="20" name="Line 31"/>
        <xdr:cNvSpPr>
          <a:spLocks/>
        </xdr:cNvSpPr>
      </xdr:nvSpPr>
      <xdr:spPr>
        <a:xfrm>
          <a:off x="119538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3</xdr:row>
      <xdr:rowOff>9525</xdr:rowOff>
    </xdr:to>
    <xdr:sp>
      <xdr:nvSpPr>
        <xdr:cNvPr id="21" name="Line 35"/>
        <xdr:cNvSpPr>
          <a:spLocks/>
        </xdr:cNvSpPr>
      </xdr:nvSpPr>
      <xdr:spPr>
        <a:xfrm>
          <a:off x="119538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3</xdr:row>
      <xdr:rowOff>9525</xdr:rowOff>
    </xdr:to>
    <xdr:sp>
      <xdr:nvSpPr>
        <xdr:cNvPr id="22" name="Line 39"/>
        <xdr:cNvSpPr>
          <a:spLocks/>
        </xdr:cNvSpPr>
      </xdr:nvSpPr>
      <xdr:spPr>
        <a:xfrm>
          <a:off x="119538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9" name="Line 9"/>
        <xdr:cNvSpPr>
          <a:spLocks/>
        </xdr:cNvSpPr>
      </xdr:nvSpPr>
      <xdr:spPr>
        <a:xfrm>
          <a:off x="33051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3051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1753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079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593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1753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0791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1175385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3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175385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3</xdr:row>
      <xdr:rowOff>9525</xdr:rowOff>
    </xdr:to>
    <xdr:sp>
      <xdr:nvSpPr>
        <xdr:cNvPr id="21" name="Line 21"/>
        <xdr:cNvSpPr>
          <a:spLocks/>
        </xdr:cNvSpPr>
      </xdr:nvSpPr>
      <xdr:spPr>
        <a:xfrm>
          <a:off x="1175385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9525</xdr:rowOff>
    </xdr:from>
    <xdr:to>
      <xdr:col>21</xdr:col>
      <xdr:colOff>0</xdr:colOff>
      <xdr:row>3</xdr:row>
      <xdr:rowOff>9525</xdr:rowOff>
    </xdr:to>
    <xdr:sp>
      <xdr:nvSpPr>
        <xdr:cNvPr id="22" name="Line 22"/>
        <xdr:cNvSpPr>
          <a:spLocks/>
        </xdr:cNvSpPr>
      </xdr:nvSpPr>
      <xdr:spPr>
        <a:xfrm>
          <a:off x="1175385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705850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200025</xdr:rowOff>
    </xdr:from>
    <xdr:to>
      <xdr:col>25</xdr:col>
      <xdr:colOff>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10944225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1" name="Line 49"/>
        <xdr:cNvSpPr>
          <a:spLocks/>
        </xdr:cNvSpPr>
      </xdr:nvSpPr>
      <xdr:spPr>
        <a:xfrm flipV="1">
          <a:off x="4295775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2" name="Line 52"/>
        <xdr:cNvSpPr>
          <a:spLocks/>
        </xdr:cNvSpPr>
      </xdr:nvSpPr>
      <xdr:spPr>
        <a:xfrm flipV="1">
          <a:off x="10953750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3" name="Line 53"/>
        <xdr:cNvSpPr>
          <a:spLocks/>
        </xdr:cNvSpPr>
      </xdr:nvSpPr>
      <xdr:spPr>
        <a:xfrm>
          <a:off x="95345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4" name="Line 54"/>
        <xdr:cNvSpPr>
          <a:spLocks/>
        </xdr:cNvSpPr>
      </xdr:nvSpPr>
      <xdr:spPr>
        <a:xfrm flipV="1">
          <a:off x="8848725" y="36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1" name="Line 3"/>
        <xdr:cNvSpPr>
          <a:spLocks/>
        </xdr:cNvSpPr>
      </xdr:nvSpPr>
      <xdr:spPr>
        <a:xfrm flipV="1">
          <a:off x="5133975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 flipV="1">
          <a:off x="13182600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3" name="Line 5"/>
        <xdr:cNvSpPr>
          <a:spLocks/>
        </xdr:cNvSpPr>
      </xdr:nvSpPr>
      <xdr:spPr>
        <a:xfrm>
          <a:off x="115347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0725150" y="36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591300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14725650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>
          <a:off x="130778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2115800" y="36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6591300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14725650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7" name="Line 7"/>
        <xdr:cNvSpPr>
          <a:spLocks/>
        </xdr:cNvSpPr>
      </xdr:nvSpPr>
      <xdr:spPr>
        <a:xfrm>
          <a:off x="130778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2115800" y="36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52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383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19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118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52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383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219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118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5524500" y="457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10" name="Line 10"/>
        <xdr:cNvSpPr>
          <a:spLocks/>
        </xdr:cNvSpPr>
      </xdr:nvSpPr>
      <xdr:spPr>
        <a:xfrm flipV="1">
          <a:off x="13839825" y="466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2192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182350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13" name="Line 13"/>
        <xdr:cNvSpPr>
          <a:spLocks/>
        </xdr:cNvSpPr>
      </xdr:nvSpPr>
      <xdr:spPr>
        <a:xfrm flipV="1">
          <a:off x="5524500" y="457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14" name="Line 14"/>
        <xdr:cNvSpPr>
          <a:spLocks/>
        </xdr:cNvSpPr>
      </xdr:nvSpPr>
      <xdr:spPr>
        <a:xfrm flipV="1">
          <a:off x="13839825" y="466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2192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1182350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385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17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116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385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217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116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5448300" y="457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10" name="Line 10"/>
        <xdr:cNvSpPr>
          <a:spLocks/>
        </xdr:cNvSpPr>
      </xdr:nvSpPr>
      <xdr:spPr>
        <a:xfrm flipV="1">
          <a:off x="13858875" y="466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11" name="Line 11"/>
        <xdr:cNvSpPr>
          <a:spLocks/>
        </xdr:cNvSpPr>
      </xdr:nvSpPr>
      <xdr:spPr>
        <a:xfrm>
          <a:off x="1217295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163300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13" name="Line 13"/>
        <xdr:cNvSpPr>
          <a:spLocks/>
        </xdr:cNvSpPr>
      </xdr:nvSpPr>
      <xdr:spPr>
        <a:xfrm flipV="1">
          <a:off x="5448300" y="457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14" name="Line 14"/>
        <xdr:cNvSpPr>
          <a:spLocks/>
        </xdr:cNvSpPr>
      </xdr:nvSpPr>
      <xdr:spPr>
        <a:xfrm flipV="1">
          <a:off x="13858875" y="466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217295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1163300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2552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552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552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2552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552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552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190500</xdr:rowOff>
    </xdr:from>
    <xdr:to>
      <xdr:col>2</xdr:col>
      <xdr:colOff>0</xdr:colOff>
      <xdr:row>3</xdr:row>
      <xdr:rowOff>19050</xdr:rowOff>
    </xdr:to>
    <xdr:sp>
      <xdr:nvSpPr>
        <xdr:cNvPr id="25" name="Line 25"/>
        <xdr:cNvSpPr>
          <a:spLocks/>
        </xdr:cNvSpPr>
      </xdr:nvSpPr>
      <xdr:spPr>
        <a:xfrm flipV="1">
          <a:off x="1323975" y="457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200025</xdr:rowOff>
    </xdr:from>
    <xdr:to>
      <xdr:col>4</xdr:col>
      <xdr:colOff>0</xdr:colOff>
      <xdr:row>3</xdr:row>
      <xdr:rowOff>19050</xdr:rowOff>
    </xdr:to>
    <xdr:sp>
      <xdr:nvSpPr>
        <xdr:cNvPr id="26" name="Line 26"/>
        <xdr:cNvSpPr>
          <a:spLocks/>
        </xdr:cNvSpPr>
      </xdr:nvSpPr>
      <xdr:spPr>
        <a:xfrm flipV="1">
          <a:off x="2552700" y="466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27" name="Line 27"/>
        <xdr:cNvSpPr>
          <a:spLocks/>
        </xdr:cNvSpPr>
      </xdr:nvSpPr>
      <xdr:spPr>
        <a:xfrm>
          <a:off x="25527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209550</xdr:rowOff>
    </xdr:from>
    <xdr:to>
      <xdr:col>4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2552700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190500</xdr:rowOff>
    </xdr:from>
    <xdr:to>
      <xdr:col>2</xdr:col>
      <xdr:colOff>0</xdr:colOff>
      <xdr:row>3</xdr:row>
      <xdr:rowOff>19050</xdr:rowOff>
    </xdr:to>
    <xdr:sp>
      <xdr:nvSpPr>
        <xdr:cNvPr id="29" name="Line 29"/>
        <xdr:cNvSpPr>
          <a:spLocks/>
        </xdr:cNvSpPr>
      </xdr:nvSpPr>
      <xdr:spPr>
        <a:xfrm flipV="1">
          <a:off x="1323975" y="457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200025</xdr:rowOff>
    </xdr:from>
    <xdr:to>
      <xdr:col>4</xdr:col>
      <xdr:colOff>0</xdr:colOff>
      <xdr:row>3</xdr:row>
      <xdr:rowOff>19050</xdr:rowOff>
    </xdr:to>
    <xdr:sp>
      <xdr:nvSpPr>
        <xdr:cNvPr id="30" name="Line 30"/>
        <xdr:cNvSpPr>
          <a:spLocks/>
        </xdr:cNvSpPr>
      </xdr:nvSpPr>
      <xdr:spPr>
        <a:xfrm flipV="1">
          <a:off x="2552700" y="466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31" name="Line 31"/>
        <xdr:cNvSpPr>
          <a:spLocks/>
        </xdr:cNvSpPr>
      </xdr:nvSpPr>
      <xdr:spPr>
        <a:xfrm>
          <a:off x="25527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209550</xdr:rowOff>
    </xdr:from>
    <xdr:to>
      <xdr:col>4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552700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1385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17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116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544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1385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217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116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41" name="Line 41"/>
        <xdr:cNvSpPr>
          <a:spLocks/>
        </xdr:cNvSpPr>
      </xdr:nvSpPr>
      <xdr:spPr>
        <a:xfrm flipV="1">
          <a:off x="5448300" y="457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42" name="Line 42"/>
        <xdr:cNvSpPr>
          <a:spLocks/>
        </xdr:cNvSpPr>
      </xdr:nvSpPr>
      <xdr:spPr>
        <a:xfrm flipV="1">
          <a:off x="13858875" y="466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43" name="Line 43"/>
        <xdr:cNvSpPr>
          <a:spLocks/>
        </xdr:cNvSpPr>
      </xdr:nvSpPr>
      <xdr:spPr>
        <a:xfrm>
          <a:off x="1217295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1163300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45" name="Line 45"/>
        <xdr:cNvSpPr>
          <a:spLocks/>
        </xdr:cNvSpPr>
      </xdr:nvSpPr>
      <xdr:spPr>
        <a:xfrm flipV="1">
          <a:off x="5448300" y="457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46" name="Line 46"/>
        <xdr:cNvSpPr>
          <a:spLocks/>
        </xdr:cNvSpPr>
      </xdr:nvSpPr>
      <xdr:spPr>
        <a:xfrm flipV="1">
          <a:off x="13858875" y="4667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47" name="Line 47"/>
        <xdr:cNvSpPr>
          <a:spLocks/>
        </xdr:cNvSpPr>
      </xdr:nvSpPr>
      <xdr:spPr>
        <a:xfrm>
          <a:off x="1217295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1163300" y="476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40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40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190500</xdr:rowOff>
    </xdr:from>
    <xdr:to>
      <xdr:col>2</xdr:col>
      <xdr:colOff>0</xdr:colOff>
      <xdr:row>3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1400175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200025</xdr:rowOff>
    </xdr:from>
    <xdr:to>
      <xdr:col>4</xdr:col>
      <xdr:colOff>0</xdr:colOff>
      <xdr:row>3</xdr:row>
      <xdr:rowOff>19050</xdr:rowOff>
    </xdr:to>
    <xdr:sp>
      <xdr:nvSpPr>
        <xdr:cNvPr id="10" name="Line 10"/>
        <xdr:cNvSpPr>
          <a:spLocks/>
        </xdr:cNvSpPr>
      </xdr:nvSpPr>
      <xdr:spPr>
        <a:xfrm flipV="1">
          <a:off x="2628900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11" name="Line 11"/>
        <xdr:cNvSpPr>
          <a:spLocks/>
        </xdr:cNvSpPr>
      </xdr:nvSpPr>
      <xdr:spPr>
        <a:xfrm>
          <a:off x="26289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209550</xdr:rowOff>
    </xdr:from>
    <xdr:to>
      <xdr:col>4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628900" y="36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190500</xdr:rowOff>
    </xdr:from>
    <xdr:to>
      <xdr:col>2</xdr:col>
      <xdr:colOff>0</xdr:colOff>
      <xdr:row>3</xdr:row>
      <xdr:rowOff>19050</xdr:rowOff>
    </xdr:to>
    <xdr:sp>
      <xdr:nvSpPr>
        <xdr:cNvPr id="13" name="Line 13"/>
        <xdr:cNvSpPr>
          <a:spLocks/>
        </xdr:cNvSpPr>
      </xdr:nvSpPr>
      <xdr:spPr>
        <a:xfrm flipV="1">
          <a:off x="1400175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200025</xdr:rowOff>
    </xdr:from>
    <xdr:to>
      <xdr:col>4</xdr:col>
      <xdr:colOff>0</xdr:colOff>
      <xdr:row>3</xdr:row>
      <xdr:rowOff>19050</xdr:rowOff>
    </xdr:to>
    <xdr:sp>
      <xdr:nvSpPr>
        <xdr:cNvPr id="14" name="Line 14"/>
        <xdr:cNvSpPr>
          <a:spLocks/>
        </xdr:cNvSpPr>
      </xdr:nvSpPr>
      <xdr:spPr>
        <a:xfrm flipV="1">
          <a:off x="2628900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6289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209550</xdr:rowOff>
    </xdr:from>
    <xdr:to>
      <xdr:col>4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628900" y="36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539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361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196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100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539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361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196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1100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25" name="Line 25"/>
        <xdr:cNvSpPr>
          <a:spLocks/>
        </xdr:cNvSpPr>
      </xdr:nvSpPr>
      <xdr:spPr>
        <a:xfrm flipV="1">
          <a:off x="5391150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26" name="Line 26"/>
        <xdr:cNvSpPr>
          <a:spLocks/>
        </xdr:cNvSpPr>
      </xdr:nvSpPr>
      <xdr:spPr>
        <a:xfrm flipV="1">
          <a:off x="13611225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27" name="Line 27"/>
        <xdr:cNvSpPr>
          <a:spLocks/>
        </xdr:cNvSpPr>
      </xdr:nvSpPr>
      <xdr:spPr>
        <a:xfrm>
          <a:off x="119634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1001375" y="36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29" name="Line 29"/>
        <xdr:cNvSpPr>
          <a:spLocks/>
        </xdr:cNvSpPr>
      </xdr:nvSpPr>
      <xdr:spPr>
        <a:xfrm flipV="1">
          <a:off x="5391150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30" name="Line 30"/>
        <xdr:cNvSpPr>
          <a:spLocks/>
        </xdr:cNvSpPr>
      </xdr:nvSpPr>
      <xdr:spPr>
        <a:xfrm flipV="1">
          <a:off x="13611225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31" name="Line 31"/>
        <xdr:cNvSpPr>
          <a:spLocks/>
        </xdr:cNvSpPr>
      </xdr:nvSpPr>
      <xdr:spPr>
        <a:xfrm>
          <a:off x="119634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1001375" y="36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33" name="Line 33"/>
        <xdr:cNvSpPr>
          <a:spLocks/>
        </xdr:cNvSpPr>
      </xdr:nvSpPr>
      <xdr:spPr>
        <a:xfrm flipV="1">
          <a:off x="5391150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34" name="Line 34"/>
        <xdr:cNvSpPr>
          <a:spLocks/>
        </xdr:cNvSpPr>
      </xdr:nvSpPr>
      <xdr:spPr>
        <a:xfrm flipV="1">
          <a:off x="13611225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35" name="Line 35"/>
        <xdr:cNvSpPr>
          <a:spLocks/>
        </xdr:cNvSpPr>
      </xdr:nvSpPr>
      <xdr:spPr>
        <a:xfrm>
          <a:off x="119634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1001375" y="36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37" name="Line 37"/>
        <xdr:cNvSpPr>
          <a:spLocks/>
        </xdr:cNvSpPr>
      </xdr:nvSpPr>
      <xdr:spPr>
        <a:xfrm flipV="1">
          <a:off x="5391150" y="34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38" name="Line 38"/>
        <xdr:cNvSpPr>
          <a:spLocks/>
        </xdr:cNvSpPr>
      </xdr:nvSpPr>
      <xdr:spPr>
        <a:xfrm flipV="1">
          <a:off x="13611225" y="352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1963400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1001375" y="36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391150" y="381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13382625" y="390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3" name="Line 3"/>
        <xdr:cNvSpPr>
          <a:spLocks/>
        </xdr:cNvSpPr>
      </xdr:nvSpPr>
      <xdr:spPr>
        <a:xfrm>
          <a:off x="117633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858500" y="400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5391150" y="381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200025</xdr:rowOff>
    </xdr:from>
    <xdr:to>
      <xdr:col>26</xdr:col>
      <xdr:colOff>0</xdr:colOff>
      <xdr:row>3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13382625" y="390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7" name="Line 7"/>
        <xdr:cNvSpPr>
          <a:spLocks/>
        </xdr:cNvSpPr>
      </xdr:nvSpPr>
      <xdr:spPr>
        <a:xfrm>
          <a:off x="117633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0858500" y="400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40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40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262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190500</xdr:rowOff>
    </xdr:from>
    <xdr:to>
      <xdr:col>2</xdr:col>
      <xdr:colOff>0</xdr:colOff>
      <xdr:row>3</xdr:row>
      <xdr:rowOff>19050</xdr:rowOff>
    </xdr:to>
    <xdr:sp>
      <xdr:nvSpPr>
        <xdr:cNvPr id="17" name="Line 17"/>
        <xdr:cNvSpPr>
          <a:spLocks/>
        </xdr:cNvSpPr>
      </xdr:nvSpPr>
      <xdr:spPr>
        <a:xfrm flipV="1">
          <a:off x="1400175" y="381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200025</xdr:rowOff>
    </xdr:from>
    <xdr:to>
      <xdr:col>4</xdr:col>
      <xdr:colOff>0</xdr:colOff>
      <xdr:row>3</xdr:row>
      <xdr:rowOff>19050</xdr:rowOff>
    </xdr:to>
    <xdr:sp>
      <xdr:nvSpPr>
        <xdr:cNvPr id="18" name="Line 18"/>
        <xdr:cNvSpPr>
          <a:spLocks/>
        </xdr:cNvSpPr>
      </xdr:nvSpPr>
      <xdr:spPr>
        <a:xfrm flipV="1">
          <a:off x="2628900" y="390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26289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209550</xdr:rowOff>
    </xdr:from>
    <xdr:to>
      <xdr:col>4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2628900" y="400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190500</xdr:rowOff>
    </xdr:from>
    <xdr:to>
      <xdr:col>2</xdr:col>
      <xdr:colOff>0</xdr:colOff>
      <xdr:row>3</xdr:row>
      <xdr:rowOff>19050</xdr:rowOff>
    </xdr:to>
    <xdr:sp>
      <xdr:nvSpPr>
        <xdr:cNvPr id="21" name="Line 21"/>
        <xdr:cNvSpPr>
          <a:spLocks/>
        </xdr:cNvSpPr>
      </xdr:nvSpPr>
      <xdr:spPr>
        <a:xfrm flipV="1">
          <a:off x="1400175" y="381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200025</xdr:rowOff>
    </xdr:from>
    <xdr:to>
      <xdr:col>4</xdr:col>
      <xdr:colOff>0</xdr:colOff>
      <xdr:row>3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2628900" y="390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4</xdr:col>
      <xdr:colOff>0</xdr:colOff>
      <xdr:row>3</xdr:row>
      <xdr:rowOff>9525</xdr:rowOff>
    </xdr:to>
    <xdr:sp>
      <xdr:nvSpPr>
        <xdr:cNvPr id="23" name="Line 23"/>
        <xdr:cNvSpPr>
          <a:spLocks/>
        </xdr:cNvSpPr>
      </xdr:nvSpPr>
      <xdr:spPr>
        <a:xfrm>
          <a:off x="262890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209550</xdr:rowOff>
    </xdr:from>
    <xdr:to>
      <xdr:col>4</xdr:col>
      <xdr:colOff>0</xdr:colOff>
      <xdr:row>3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2628900" y="400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539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1338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176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539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338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76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33" name="Line 33"/>
        <xdr:cNvSpPr>
          <a:spLocks/>
        </xdr:cNvSpPr>
      </xdr:nvSpPr>
      <xdr:spPr>
        <a:xfrm flipV="1">
          <a:off x="5391150" y="381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26</xdr:col>
      <xdr:colOff>0</xdr:colOff>
      <xdr:row>3</xdr:row>
      <xdr:rowOff>19050</xdr:rowOff>
    </xdr:to>
    <xdr:sp>
      <xdr:nvSpPr>
        <xdr:cNvPr id="34" name="Line 34"/>
        <xdr:cNvSpPr>
          <a:spLocks/>
        </xdr:cNvSpPr>
      </xdr:nvSpPr>
      <xdr:spPr>
        <a:xfrm flipV="1">
          <a:off x="13382625" y="561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35" name="Line 35"/>
        <xdr:cNvSpPr>
          <a:spLocks/>
        </xdr:cNvSpPr>
      </xdr:nvSpPr>
      <xdr:spPr>
        <a:xfrm>
          <a:off x="117633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0858500" y="400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37" name="Line 37"/>
        <xdr:cNvSpPr>
          <a:spLocks/>
        </xdr:cNvSpPr>
      </xdr:nvSpPr>
      <xdr:spPr>
        <a:xfrm flipV="1">
          <a:off x="5391150" y="381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38" name="Line 39"/>
        <xdr:cNvSpPr>
          <a:spLocks/>
        </xdr:cNvSpPr>
      </xdr:nvSpPr>
      <xdr:spPr>
        <a:xfrm>
          <a:off x="117633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39" name="Line 40"/>
        <xdr:cNvSpPr>
          <a:spLocks/>
        </xdr:cNvSpPr>
      </xdr:nvSpPr>
      <xdr:spPr>
        <a:xfrm flipV="1">
          <a:off x="10858500" y="400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40" name="Line 41"/>
        <xdr:cNvSpPr>
          <a:spLocks/>
        </xdr:cNvSpPr>
      </xdr:nvSpPr>
      <xdr:spPr>
        <a:xfrm flipV="1">
          <a:off x="5391150" y="381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41" name="Line 43"/>
        <xdr:cNvSpPr>
          <a:spLocks/>
        </xdr:cNvSpPr>
      </xdr:nvSpPr>
      <xdr:spPr>
        <a:xfrm>
          <a:off x="117633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209550</xdr:rowOff>
    </xdr:from>
    <xdr:to>
      <xdr:col>20</xdr:col>
      <xdr:colOff>0</xdr:colOff>
      <xdr:row>3</xdr:row>
      <xdr:rowOff>0</xdr:rowOff>
    </xdr:to>
    <xdr:sp>
      <xdr:nvSpPr>
        <xdr:cNvPr id="42" name="Line 44"/>
        <xdr:cNvSpPr>
          <a:spLocks/>
        </xdr:cNvSpPr>
      </xdr:nvSpPr>
      <xdr:spPr>
        <a:xfrm flipV="1">
          <a:off x="10858500" y="4000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190500</xdr:rowOff>
    </xdr:from>
    <xdr:to>
      <xdr:col>9</xdr:col>
      <xdr:colOff>0</xdr:colOff>
      <xdr:row>3</xdr:row>
      <xdr:rowOff>19050</xdr:rowOff>
    </xdr:to>
    <xdr:sp>
      <xdr:nvSpPr>
        <xdr:cNvPr id="43" name="Line 45"/>
        <xdr:cNvSpPr>
          <a:spLocks/>
        </xdr:cNvSpPr>
      </xdr:nvSpPr>
      <xdr:spPr>
        <a:xfrm flipV="1">
          <a:off x="5391150" y="381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9525</xdr:rowOff>
    </xdr:from>
    <xdr:to>
      <xdr:col>22</xdr:col>
      <xdr:colOff>0</xdr:colOff>
      <xdr:row>3</xdr:row>
      <xdr:rowOff>9525</xdr:rowOff>
    </xdr:to>
    <xdr:sp>
      <xdr:nvSpPr>
        <xdr:cNvPr id="44" name="Line 47"/>
        <xdr:cNvSpPr>
          <a:spLocks/>
        </xdr:cNvSpPr>
      </xdr:nvSpPr>
      <xdr:spPr>
        <a:xfrm>
          <a:off x="117633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3</xdr:row>
      <xdr:rowOff>0</xdr:rowOff>
    </xdr:to>
    <xdr:sp>
      <xdr:nvSpPr>
        <xdr:cNvPr id="45" name="Line 48"/>
        <xdr:cNvSpPr>
          <a:spLocks/>
        </xdr:cNvSpPr>
      </xdr:nvSpPr>
      <xdr:spPr>
        <a:xfrm flipH="1" flipV="1">
          <a:off x="10858500" y="409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D%20MONTHLY%20DEPT.%20%20WISE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-2011"/>
      <sheetName val="FEBRU-2011"/>
      <sheetName val="MAR-2011"/>
      <sheetName val="APR-2011"/>
      <sheetName val="MAY-2011"/>
      <sheetName val="JUNE-2011"/>
      <sheetName val="JULY-2011"/>
      <sheetName val="AUG-2011"/>
      <sheetName val="SEP-2011"/>
      <sheetName val="OCT-2011"/>
      <sheetName val="NOV-2011"/>
      <sheetName val="Sheet3"/>
    </sheetNames>
    <sheetDataSet>
      <sheetData sheetId="10">
        <row r="5">
          <cell r="N5">
            <v>812</v>
          </cell>
        </row>
        <row r="6">
          <cell r="N6">
            <v>1055</v>
          </cell>
        </row>
        <row r="7">
          <cell r="N7">
            <v>1178</v>
          </cell>
        </row>
        <row r="8">
          <cell r="N8">
            <v>930</v>
          </cell>
        </row>
        <row r="9">
          <cell r="N9">
            <v>1096</v>
          </cell>
        </row>
        <row r="10">
          <cell r="N10">
            <v>0</v>
          </cell>
        </row>
        <row r="11">
          <cell r="N11">
            <v>626</v>
          </cell>
        </row>
        <row r="12">
          <cell r="N12">
            <v>1450</v>
          </cell>
        </row>
        <row r="13">
          <cell r="N13">
            <v>1258</v>
          </cell>
        </row>
        <row r="14">
          <cell r="N14">
            <v>1246</v>
          </cell>
        </row>
        <row r="15">
          <cell r="N15">
            <v>1037</v>
          </cell>
        </row>
        <row r="16">
          <cell r="N16">
            <v>1359</v>
          </cell>
        </row>
        <row r="17">
          <cell r="N17">
            <v>0</v>
          </cell>
        </row>
        <row r="18">
          <cell r="N18">
            <v>1479</v>
          </cell>
        </row>
        <row r="19">
          <cell r="N19">
            <v>1417</v>
          </cell>
        </row>
        <row r="20">
          <cell r="N20">
            <v>1377</v>
          </cell>
        </row>
        <row r="21">
          <cell r="N21">
            <v>1213</v>
          </cell>
        </row>
        <row r="22">
          <cell r="N22">
            <v>1050</v>
          </cell>
        </row>
        <row r="23">
          <cell r="N23">
            <v>1286</v>
          </cell>
        </row>
        <row r="24">
          <cell r="N24">
            <v>0</v>
          </cell>
        </row>
        <row r="25">
          <cell r="N25">
            <v>1494</v>
          </cell>
        </row>
        <row r="26">
          <cell r="N26">
            <v>1369</v>
          </cell>
        </row>
        <row r="27">
          <cell r="N27">
            <v>1151</v>
          </cell>
        </row>
        <row r="28">
          <cell r="N28">
            <v>963</v>
          </cell>
        </row>
        <row r="29">
          <cell r="N29">
            <v>910</v>
          </cell>
        </row>
        <row r="30">
          <cell r="N30">
            <v>1113</v>
          </cell>
        </row>
        <row r="31">
          <cell r="N31">
            <v>0</v>
          </cell>
        </row>
        <row r="32">
          <cell r="N32">
            <v>1351</v>
          </cell>
        </row>
        <row r="33">
          <cell r="N33">
            <v>1318</v>
          </cell>
        </row>
        <row r="34">
          <cell r="N34">
            <v>1031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F75"/>
  <sheetViews>
    <sheetView view="pageBreakPreview" zoomScale="60" zoomScalePageLayoutView="0" workbookViewId="0" topLeftCell="A16">
      <selection activeCell="H43" sqref="H43"/>
    </sheetView>
  </sheetViews>
  <sheetFormatPr defaultColWidth="9.140625" defaultRowHeight="12.75"/>
  <cols>
    <col min="1" max="1" width="6.140625" style="0" customWidth="1"/>
    <col min="2" max="2" width="8.421875" style="4" customWidth="1"/>
    <col min="3" max="3" width="6.7109375" style="4" customWidth="1"/>
    <col min="4" max="4" width="6.00390625" style="4" customWidth="1"/>
    <col min="5" max="5" width="5.7109375" style="4" customWidth="1"/>
    <col min="6" max="6" width="7.00390625" style="0" customWidth="1"/>
    <col min="7" max="7" width="6.7109375" style="9" customWidth="1"/>
    <col min="8" max="8" width="8.7109375" style="0" customWidth="1"/>
    <col min="9" max="9" width="7.7109375" style="0" customWidth="1"/>
    <col min="10" max="10" width="9.7109375" style="0" customWidth="1"/>
    <col min="11" max="12" width="6.7109375" style="0" customWidth="1"/>
    <col min="13" max="13" width="5.8515625" style="0" customWidth="1"/>
    <col min="14" max="14" width="5.28125" style="0" customWidth="1"/>
    <col min="15" max="15" width="5.7109375" style="0" customWidth="1"/>
    <col min="16" max="17" width="4.7109375" style="0" customWidth="1"/>
    <col min="18" max="18" width="9.421875" style="0" customWidth="1"/>
    <col min="19" max="19" width="11.00390625" style="0" customWidth="1"/>
    <col min="20" max="20" width="5.7109375" style="0" customWidth="1"/>
    <col min="21" max="21" width="5.8515625" style="0" customWidth="1"/>
    <col min="22" max="22" width="4.7109375" style="0" customWidth="1"/>
    <col min="23" max="23" width="5.421875" style="0" customWidth="1"/>
    <col min="24" max="24" width="4.7109375" style="0" customWidth="1"/>
    <col min="25" max="25" width="6.28125" style="0" customWidth="1"/>
    <col min="26" max="26" width="7.140625" style="0" customWidth="1"/>
    <col min="27" max="27" width="6.421875" style="0" customWidth="1"/>
    <col min="28" max="31" width="4.7109375" style="0" customWidth="1"/>
    <col min="32" max="16384" width="9.140625" style="9" customWidth="1"/>
  </cols>
  <sheetData>
    <row r="1" spans="1:31" ht="12" customHeight="1">
      <c r="A1" s="460" t="s">
        <v>28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</row>
    <row r="2" spans="1:32" ht="17.25" customHeight="1" thickBot="1">
      <c r="A2" s="461" t="s">
        <v>30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37"/>
    </row>
    <row r="3" spans="1:32" ht="12" customHeight="1">
      <c r="A3" s="462" t="s">
        <v>23</v>
      </c>
      <c r="B3" s="464" t="s">
        <v>0</v>
      </c>
      <c r="C3" s="466" t="s">
        <v>1</v>
      </c>
      <c r="D3" s="468" t="s">
        <v>20</v>
      </c>
      <c r="E3" s="470" t="s">
        <v>21</v>
      </c>
      <c r="F3" s="471" t="s">
        <v>19</v>
      </c>
      <c r="G3" s="473" t="s">
        <v>2</v>
      </c>
      <c r="H3" s="475" t="s">
        <v>3</v>
      </c>
      <c r="I3" s="472" t="s">
        <v>4</v>
      </c>
      <c r="J3" s="19"/>
      <c r="K3" s="472" t="s">
        <v>5</v>
      </c>
      <c r="L3" s="479" t="s">
        <v>17</v>
      </c>
      <c r="M3" s="479"/>
      <c r="N3" s="479"/>
      <c r="O3" s="479"/>
      <c r="P3" s="479"/>
      <c r="Q3" s="479"/>
      <c r="R3" s="480" t="s">
        <v>32</v>
      </c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2"/>
      <c r="AF3" s="37"/>
    </row>
    <row r="4" spans="1:32" ht="92.25" customHeight="1">
      <c r="A4" s="463"/>
      <c r="B4" s="465"/>
      <c r="C4" s="467"/>
      <c r="D4" s="469"/>
      <c r="E4" s="464"/>
      <c r="F4" s="472"/>
      <c r="G4" s="474"/>
      <c r="H4" s="476"/>
      <c r="I4" s="478"/>
      <c r="J4" s="20" t="s">
        <v>26</v>
      </c>
      <c r="K4" s="478"/>
      <c r="L4" s="472" t="s">
        <v>6</v>
      </c>
      <c r="M4" s="472"/>
      <c r="N4" s="472" t="s">
        <v>15</v>
      </c>
      <c r="O4" s="472"/>
      <c r="P4" s="472" t="s">
        <v>7</v>
      </c>
      <c r="Q4" s="472"/>
      <c r="R4" s="491" t="s">
        <v>25</v>
      </c>
      <c r="S4" s="475"/>
      <c r="T4" s="472" t="s">
        <v>8</v>
      </c>
      <c r="U4" s="472"/>
      <c r="V4" s="472" t="s">
        <v>9</v>
      </c>
      <c r="W4" s="472"/>
      <c r="X4" s="472" t="s">
        <v>10</v>
      </c>
      <c r="Y4" s="472"/>
      <c r="Z4" s="472" t="s">
        <v>11</v>
      </c>
      <c r="AA4" s="472"/>
      <c r="AB4" s="477" t="s">
        <v>24</v>
      </c>
      <c r="AC4" s="477"/>
      <c r="AD4" s="472" t="s">
        <v>12</v>
      </c>
      <c r="AE4" s="472"/>
      <c r="AF4" s="37"/>
    </row>
    <row r="5" spans="1:32" ht="16.5" customHeight="1">
      <c r="A5" s="483"/>
      <c r="B5" s="484"/>
      <c r="C5" s="485"/>
      <c r="D5" s="486" t="s">
        <v>31</v>
      </c>
      <c r="E5" s="487"/>
      <c r="F5" s="487"/>
      <c r="G5" s="488"/>
      <c r="H5" s="489"/>
      <c r="I5" s="484"/>
      <c r="J5" s="484"/>
      <c r="K5" s="490"/>
      <c r="L5" s="1" t="s">
        <v>13</v>
      </c>
      <c r="M5" s="1" t="s">
        <v>14</v>
      </c>
      <c r="N5" s="1" t="s">
        <v>13</v>
      </c>
      <c r="O5" s="1" t="s">
        <v>14</v>
      </c>
      <c r="P5" s="1" t="s">
        <v>13</v>
      </c>
      <c r="Q5" s="1" t="s">
        <v>14</v>
      </c>
      <c r="R5" s="16" t="s">
        <v>13</v>
      </c>
      <c r="S5" s="1" t="s">
        <v>14</v>
      </c>
      <c r="T5" s="1" t="s">
        <v>13</v>
      </c>
      <c r="U5" s="1" t="s">
        <v>14</v>
      </c>
      <c r="V5" s="1" t="s">
        <v>13</v>
      </c>
      <c r="W5" s="1" t="s">
        <v>14</v>
      </c>
      <c r="X5" s="1" t="s">
        <v>13</v>
      </c>
      <c r="Y5" s="1" t="s">
        <v>14</v>
      </c>
      <c r="Z5" s="1" t="s">
        <v>13</v>
      </c>
      <c r="AA5" s="1" t="s">
        <v>14</v>
      </c>
      <c r="AB5" s="1" t="s">
        <v>13</v>
      </c>
      <c r="AC5" s="1" t="s">
        <v>14</v>
      </c>
      <c r="AD5" s="1" t="s">
        <v>13</v>
      </c>
      <c r="AE5" s="1" t="s">
        <v>14</v>
      </c>
      <c r="AF5" s="37"/>
    </row>
    <row r="6" spans="1:32" ht="15" customHeight="1">
      <c r="A6" s="10">
        <v>1</v>
      </c>
      <c r="B6" s="25">
        <v>0</v>
      </c>
      <c r="C6" s="26">
        <v>180</v>
      </c>
      <c r="D6" s="27">
        <v>8</v>
      </c>
      <c r="E6" s="6">
        <v>14</v>
      </c>
      <c r="F6" s="27">
        <v>138</v>
      </c>
      <c r="G6" s="28">
        <f>+F6/3</f>
        <v>46</v>
      </c>
      <c r="H6" s="29">
        <v>3</v>
      </c>
      <c r="I6" s="6" t="s">
        <v>16</v>
      </c>
      <c r="J6" s="6">
        <v>2</v>
      </c>
      <c r="K6" s="31">
        <v>1</v>
      </c>
      <c r="L6" s="6">
        <v>7</v>
      </c>
      <c r="M6" s="6">
        <v>4</v>
      </c>
      <c r="N6" s="6">
        <v>0</v>
      </c>
      <c r="O6" s="6">
        <v>0</v>
      </c>
      <c r="P6" s="30" t="s">
        <v>16</v>
      </c>
      <c r="Q6" s="30" t="s">
        <v>16</v>
      </c>
      <c r="R6" s="31" t="s">
        <v>16</v>
      </c>
      <c r="S6" s="6">
        <v>50</v>
      </c>
      <c r="T6" s="6">
        <v>0</v>
      </c>
      <c r="U6" s="6">
        <v>0</v>
      </c>
      <c r="V6" s="6">
        <v>0</v>
      </c>
      <c r="W6" s="6">
        <v>0</v>
      </c>
      <c r="X6" s="6" t="s">
        <v>16</v>
      </c>
      <c r="Y6" s="6" t="s">
        <v>16</v>
      </c>
      <c r="Z6" s="6" t="s">
        <v>16</v>
      </c>
      <c r="AA6" s="6">
        <v>24</v>
      </c>
      <c r="AB6" s="6" t="s">
        <v>16</v>
      </c>
      <c r="AC6" s="6">
        <v>1</v>
      </c>
      <c r="AD6" s="6" t="s">
        <v>16</v>
      </c>
      <c r="AE6" s="6" t="s">
        <v>16</v>
      </c>
      <c r="AF6" s="37"/>
    </row>
    <row r="7" spans="1:32" ht="15" customHeight="1">
      <c r="A7" s="10">
        <v>2</v>
      </c>
      <c r="B7" s="25">
        <v>0</v>
      </c>
      <c r="C7" s="26">
        <v>219</v>
      </c>
      <c r="D7" s="27">
        <v>14</v>
      </c>
      <c r="E7" s="6">
        <v>6</v>
      </c>
      <c r="F7" s="27">
        <v>146</v>
      </c>
      <c r="G7" s="28">
        <f aca="true" t="shared" si="0" ref="G7:G36">+F7/3</f>
        <v>48.666666666666664</v>
      </c>
      <c r="H7" s="29" t="s">
        <v>16</v>
      </c>
      <c r="I7" s="6" t="s">
        <v>16</v>
      </c>
      <c r="J7" s="6">
        <v>2</v>
      </c>
      <c r="K7" s="31" t="s">
        <v>16</v>
      </c>
      <c r="L7" s="6">
        <v>9</v>
      </c>
      <c r="M7" s="6">
        <v>4</v>
      </c>
      <c r="N7" s="6">
        <v>0</v>
      </c>
      <c r="O7" s="6">
        <v>0</v>
      </c>
      <c r="P7" s="30" t="s">
        <v>16</v>
      </c>
      <c r="Q7" s="30" t="s">
        <v>16</v>
      </c>
      <c r="R7" s="31" t="s">
        <v>16</v>
      </c>
      <c r="S7" s="6">
        <v>111</v>
      </c>
      <c r="T7" s="6">
        <v>0</v>
      </c>
      <c r="U7" s="6">
        <v>0</v>
      </c>
      <c r="V7" s="6">
        <v>0</v>
      </c>
      <c r="W7" s="6">
        <v>0</v>
      </c>
      <c r="X7" s="6" t="s">
        <v>16</v>
      </c>
      <c r="Y7" s="6" t="s">
        <v>16</v>
      </c>
      <c r="Z7" s="6" t="s">
        <v>16</v>
      </c>
      <c r="AA7" s="6">
        <v>15</v>
      </c>
      <c r="AB7" s="6" t="s">
        <v>16</v>
      </c>
      <c r="AC7" s="6" t="s">
        <v>16</v>
      </c>
      <c r="AD7" s="6" t="s">
        <v>16</v>
      </c>
      <c r="AE7" s="6" t="s">
        <v>16</v>
      </c>
      <c r="AF7" s="37"/>
    </row>
    <row r="8" spans="1:32" ht="15" customHeight="1">
      <c r="A8" s="13">
        <v>3</v>
      </c>
      <c r="B8" s="22">
        <v>1195</v>
      </c>
      <c r="C8" s="2">
        <v>145</v>
      </c>
      <c r="D8" s="23">
        <v>53</v>
      </c>
      <c r="E8" s="1">
        <v>31</v>
      </c>
      <c r="F8" s="23">
        <f>199-31</f>
        <v>168</v>
      </c>
      <c r="G8" s="35">
        <f t="shared" si="0"/>
        <v>56</v>
      </c>
      <c r="H8" s="11">
        <v>3</v>
      </c>
      <c r="I8" s="1">
        <v>2</v>
      </c>
      <c r="J8" s="1" t="s">
        <v>16</v>
      </c>
      <c r="K8" s="16" t="s">
        <v>16</v>
      </c>
      <c r="L8" s="7">
        <v>62</v>
      </c>
      <c r="M8" s="7">
        <v>16</v>
      </c>
      <c r="N8" s="7">
        <v>13</v>
      </c>
      <c r="O8" s="7">
        <v>5</v>
      </c>
      <c r="P8" s="18" t="s">
        <v>16</v>
      </c>
      <c r="Q8" s="18" t="s">
        <v>16</v>
      </c>
      <c r="R8" s="17">
        <v>154</v>
      </c>
      <c r="S8" s="7">
        <v>343</v>
      </c>
      <c r="T8" s="7">
        <v>12</v>
      </c>
      <c r="U8" s="7">
        <v>9</v>
      </c>
      <c r="V8" s="7">
        <v>6</v>
      </c>
      <c r="W8" s="7">
        <v>6</v>
      </c>
      <c r="X8" s="7" t="s">
        <v>16</v>
      </c>
      <c r="Y8" s="7">
        <v>1</v>
      </c>
      <c r="Z8" s="7">
        <v>151</v>
      </c>
      <c r="AA8" s="7">
        <v>214</v>
      </c>
      <c r="AB8" s="7" t="s">
        <v>16</v>
      </c>
      <c r="AC8" s="7">
        <v>1</v>
      </c>
      <c r="AD8" s="7">
        <v>5</v>
      </c>
      <c r="AE8" s="7" t="s">
        <v>16</v>
      </c>
      <c r="AF8" s="37"/>
    </row>
    <row r="9" spans="1:32" ht="15" customHeight="1">
      <c r="A9" s="13">
        <v>4</v>
      </c>
      <c r="B9" s="22">
        <v>737</v>
      </c>
      <c r="C9" s="2">
        <v>119</v>
      </c>
      <c r="D9" s="23">
        <v>45</v>
      </c>
      <c r="E9" s="1">
        <v>24</v>
      </c>
      <c r="F9" s="23">
        <v>189</v>
      </c>
      <c r="G9" s="35">
        <f t="shared" si="0"/>
        <v>63</v>
      </c>
      <c r="H9" s="11">
        <v>9</v>
      </c>
      <c r="I9" s="1" t="s">
        <v>16</v>
      </c>
      <c r="J9" s="1">
        <v>2</v>
      </c>
      <c r="K9" s="16">
        <v>1</v>
      </c>
      <c r="L9" s="7">
        <v>43</v>
      </c>
      <c r="M9" s="7">
        <v>17</v>
      </c>
      <c r="N9" s="7">
        <v>12</v>
      </c>
      <c r="O9" s="7">
        <v>5</v>
      </c>
      <c r="P9" s="18" t="s">
        <v>16</v>
      </c>
      <c r="Q9" s="18" t="s">
        <v>27</v>
      </c>
      <c r="R9" s="17">
        <v>90</v>
      </c>
      <c r="S9" s="7">
        <v>305</v>
      </c>
      <c r="T9" s="7" t="s">
        <v>16</v>
      </c>
      <c r="U9" s="7">
        <v>8</v>
      </c>
      <c r="V9" s="7">
        <v>5</v>
      </c>
      <c r="W9" s="7">
        <v>7</v>
      </c>
      <c r="X9" s="7" t="s">
        <v>16</v>
      </c>
      <c r="Y9" s="7" t="s">
        <v>16</v>
      </c>
      <c r="Z9" s="7">
        <v>81</v>
      </c>
      <c r="AA9" s="7">
        <v>245</v>
      </c>
      <c r="AB9" s="7">
        <v>1</v>
      </c>
      <c r="AC9" s="7">
        <v>3</v>
      </c>
      <c r="AD9" s="7" t="s">
        <v>16</v>
      </c>
      <c r="AE9" s="7" t="s">
        <v>16</v>
      </c>
      <c r="AF9" s="37"/>
    </row>
    <row r="10" spans="1:32" ht="15" customHeight="1">
      <c r="A10" s="13">
        <v>5</v>
      </c>
      <c r="B10" s="24">
        <v>859</v>
      </c>
      <c r="C10" s="14">
        <v>132</v>
      </c>
      <c r="D10" s="34">
        <v>33</v>
      </c>
      <c r="E10" s="7">
        <v>36</v>
      </c>
      <c r="F10" s="34">
        <v>186</v>
      </c>
      <c r="G10" s="35">
        <f t="shared" si="0"/>
        <v>62</v>
      </c>
      <c r="H10" s="15">
        <v>6</v>
      </c>
      <c r="I10" s="7">
        <v>4</v>
      </c>
      <c r="J10" s="7">
        <v>4</v>
      </c>
      <c r="K10" s="17">
        <v>1</v>
      </c>
      <c r="L10" s="7">
        <v>50</v>
      </c>
      <c r="M10" s="7">
        <v>10</v>
      </c>
      <c r="N10" s="7">
        <v>13</v>
      </c>
      <c r="O10" s="7">
        <v>9</v>
      </c>
      <c r="P10" s="18" t="s">
        <v>16</v>
      </c>
      <c r="Q10" s="18" t="s">
        <v>16</v>
      </c>
      <c r="R10" s="17">
        <v>79</v>
      </c>
      <c r="S10" s="7">
        <v>293</v>
      </c>
      <c r="T10" s="7">
        <v>5</v>
      </c>
      <c r="U10" s="7">
        <v>35</v>
      </c>
      <c r="V10" s="7">
        <v>7</v>
      </c>
      <c r="W10" s="7">
        <v>2</v>
      </c>
      <c r="X10" s="7">
        <v>1</v>
      </c>
      <c r="Y10" s="7" t="s">
        <v>16</v>
      </c>
      <c r="Z10" s="7">
        <v>125</v>
      </c>
      <c r="AA10" s="7">
        <v>127</v>
      </c>
      <c r="AB10" s="7" t="s">
        <v>16</v>
      </c>
      <c r="AC10" s="7" t="s">
        <v>16</v>
      </c>
      <c r="AD10" s="7">
        <v>4</v>
      </c>
      <c r="AE10" s="7">
        <v>1</v>
      </c>
      <c r="AF10" s="37"/>
    </row>
    <row r="11" spans="1:32" ht="15" customHeight="1">
      <c r="A11" s="13">
        <v>6</v>
      </c>
      <c r="B11" s="22">
        <v>951</v>
      </c>
      <c r="C11" s="2">
        <v>118</v>
      </c>
      <c r="D11" s="23">
        <v>26</v>
      </c>
      <c r="E11" s="1">
        <v>26</v>
      </c>
      <c r="F11" s="23">
        <v>186</v>
      </c>
      <c r="G11" s="35">
        <f t="shared" si="0"/>
        <v>62</v>
      </c>
      <c r="H11" s="11">
        <v>7</v>
      </c>
      <c r="I11" s="1">
        <v>3</v>
      </c>
      <c r="J11" s="1" t="s">
        <v>16</v>
      </c>
      <c r="K11" s="16" t="s">
        <v>16</v>
      </c>
      <c r="L11" s="1">
        <v>45</v>
      </c>
      <c r="M11" s="1">
        <v>13</v>
      </c>
      <c r="N11" s="1">
        <v>21</v>
      </c>
      <c r="O11" s="1">
        <v>8</v>
      </c>
      <c r="P11" s="18" t="s">
        <v>16</v>
      </c>
      <c r="Q11" s="18" t="s">
        <v>16</v>
      </c>
      <c r="R11" s="16">
        <v>95</v>
      </c>
      <c r="S11" s="1">
        <v>271</v>
      </c>
      <c r="T11" s="1">
        <v>12</v>
      </c>
      <c r="U11" s="1">
        <v>24</v>
      </c>
      <c r="V11" s="1">
        <v>3</v>
      </c>
      <c r="W11" s="1">
        <v>5</v>
      </c>
      <c r="X11" s="1" t="s">
        <v>16</v>
      </c>
      <c r="Y11" s="1">
        <v>5</v>
      </c>
      <c r="Z11" s="1">
        <v>109</v>
      </c>
      <c r="AA11" s="1">
        <v>211</v>
      </c>
      <c r="AB11" s="1" t="s">
        <v>16</v>
      </c>
      <c r="AC11" s="1" t="s">
        <v>16</v>
      </c>
      <c r="AD11" s="1">
        <v>3</v>
      </c>
      <c r="AE11" s="1" t="s">
        <v>16</v>
      </c>
      <c r="AF11" s="37"/>
    </row>
    <row r="12" spans="1:32" ht="15" customHeight="1">
      <c r="A12" s="13">
        <v>7</v>
      </c>
      <c r="B12" s="24">
        <v>710</v>
      </c>
      <c r="C12" s="14">
        <v>156</v>
      </c>
      <c r="D12" s="34">
        <v>32</v>
      </c>
      <c r="E12" s="7">
        <v>28</v>
      </c>
      <c r="F12" s="34">
        <v>190</v>
      </c>
      <c r="G12" s="35">
        <f t="shared" si="0"/>
        <v>63.333333333333336</v>
      </c>
      <c r="H12" s="15">
        <v>6</v>
      </c>
      <c r="I12" s="7">
        <v>1</v>
      </c>
      <c r="J12" s="7" t="s">
        <v>16</v>
      </c>
      <c r="K12" s="17" t="s">
        <v>16</v>
      </c>
      <c r="L12" s="7">
        <v>35</v>
      </c>
      <c r="M12" s="7">
        <v>20</v>
      </c>
      <c r="N12" s="7">
        <v>8</v>
      </c>
      <c r="O12" s="7">
        <v>6</v>
      </c>
      <c r="P12" s="18" t="s">
        <v>16</v>
      </c>
      <c r="Q12" s="18" t="s">
        <v>16</v>
      </c>
      <c r="R12" s="17">
        <v>93</v>
      </c>
      <c r="S12" s="7">
        <v>319</v>
      </c>
      <c r="T12" s="7" t="s">
        <v>16</v>
      </c>
      <c r="U12" s="7">
        <v>4</v>
      </c>
      <c r="V12" s="7">
        <v>3</v>
      </c>
      <c r="W12" s="7">
        <v>9</v>
      </c>
      <c r="X12" s="7" t="s">
        <v>16</v>
      </c>
      <c r="Y12" s="7">
        <v>3</v>
      </c>
      <c r="Z12" s="7">
        <v>75</v>
      </c>
      <c r="AA12" s="7">
        <v>168</v>
      </c>
      <c r="AB12" s="7">
        <v>2</v>
      </c>
      <c r="AC12" s="7">
        <v>8</v>
      </c>
      <c r="AD12" s="7" t="s">
        <v>16</v>
      </c>
      <c r="AE12" s="7">
        <v>1</v>
      </c>
      <c r="AF12" s="37"/>
    </row>
    <row r="13" spans="1:32" ht="15" customHeight="1">
      <c r="A13" s="13">
        <v>8</v>
      </c>
      <c r="B13" s="22">
        <v>887</v>
      </c>
      <c r="C13" s="2">
        <v>136</v>
      </c>
      <c r="D13" s="23">
        <v>23</v>
      </c>
      <c r="E13" s="1">
        <v>31</v>
      </c>
      <c r="F13" s="23">
        <v>182</v>
      </c>
      <c r="G13" s="35">
        <f t="shared" si="0"/>
        <v>60.666666666666664</v>
      </c>
      <c r="H13" s="11">
        <v>8</v>
      </c>
      <c r="I13" s="1">
        <v>2</v>
      </c>
      <c r="J13" s="1">
        <v>1</v>
      </c>
      <c r="K13" s="16">
        <v>1</v>
      </c>
      <c r="L13" s="1">
        <v>45</v>
      </c>
      <c r="M13" s="1">
        <v>11</v>
      </c>
      <c r="N13" s="1">
        <v>11</v>
      </c>
      <c r="O13" s="1">
        <v>5</v>
      </c>
      <c r="P13" s="18" t="s">
        <v>16</v>
      </c>
      <c r="Q13" s="18" t="s">
        <v>16</v>
      </c>
      <c r="R13" s="16">
        <v>107</v>
      </c>
      <c r="S13" s="1">
        <v>216</v>
      </c>
      <c r="T13" s="1">
        <v>10</v>
      </c>
      <c r="U13" s="1">
        <v>24</v>
      </c>
      <c r="V13" s="1">
        <v>2</v>
      </c>
      <c r="W13" s="1">
        <v>4</v>
      </c>
      <c r="X13" s="1">
        <v>1</v>
      </c>
      <c r="Y13" s="1">
        <v>2</v>
      </c>
      <c r="Z13" s="1">
        <v>108</v>
      </c>
      <c r="AA13" s="1">
        <v>181</v>
      </c>
      <c r="AB13" s="1" t="s">
        <v>16</v>
      </c>
      <c r="AC13" s="1" t="s">
        <v>16</v>
      </c>
      <c r="AD13" s="1">
        <v>3</v>
      </c>
      <c r="AE13" s="1" t="s">
        <v>16</v>
      </c>
      <c r="AF13" s="37"/>
    </row>
    <row r="14" spans="1:32" ht="15" customHeight="1">
      <c r="A14" s="10">
        <v>9</v>
      </c>
      <c r="B14" s="25">
        <v>0</v>
      </c>
      <c r="C14" s="26">
        <v>237</v>
      </c>
      <c r="D14" s="27">
        <v>19</v>
      </c>
      <c r="E14" s="6">
        <v>5</v>
      </c>
      <c r="F14" s="27">
        <v>196</v>
      </c>
      <c r="G14" s="28">
        <f t="shared" si="0"/>
        <v>65.33333333333333</v>
      </c>
      <c r="H14" s="29">
        <v>1</v>
      </c>
      <c r="I14" s="6" t="s">
        <v>16</v>
      </c>
      <c r="J14" s="6">
        <v>3</v>
      </c>
      <c r="K14" s="31">
        <v>1</v>
      </c>
      <c r="L14" s="6">
        <v>7</v>
      </c>
      <c r="M14" s="6">
        <v>2</v>
      </c>
      <c r="N14" s="6">
        <v>0</v>
      </c>
      <c r="O14" s="6">
        <v>0</v>
      </c>
      <c r="P14" s="30" t="s">
        <v>16</v>
      </c>
      <c r="Q14" s="30" t="s">
        <v>16</v>
      </c>
      <c r="R14" s="31" t="s">
        <v>16</v>
      </c>
      <c r="S14" s="6">
        <v>74</v>
      </c>
      <c r="T14" s="6">
        <v>0</v>
      </c>
      <c r="U14" s="6">
        <v>0</v>
      </c>
      <c r="V14" s="6">
        <v>0</v>
      </c>
      <c r="W14" s="6">
        <v>0</v>
      </c>
      <c r="X14" s="6" t="s">
        <v>16</v>
      </c>
      <c r="Y14" s="6" t="s">
        <v>16</v>
      </c>
      <c r="Z14" s="6" t="s">
        <v>16</v>
      </c>
      <c r="AA14" s="6">
        <v>15</v>
      </c>
      <c r="AB14" s="6" t="s">
        <v>16</v>
      </c>
      <c r="AC14" s="6" t="s">
        <v>16</v>
      </c>
      <c r="AD14" s="6" t="s">
        <v>16</v>
      </c>
      <c r="AE14" s="6" t="s">
        <v>16</v>
      </c>
      <c r="AF14" s="37"/>
    </row>
    <row r="15" spans="1:32" ht="15" customHeight="1">
      <c r="A15" s="13">
        <v>10</v>
      </c>
      <c r="B15" s="22">
        <v>1095</v>
      </c>
      <c r="C15" s="2">
        <v>170</v>
      </c>
      <c r="D15" s="23">
        <v>25</v>
      </c>
      <c r="E15" s="1">
        <v>36</v>
      </c>
      <c r="F15" s="23">
        <v>185</v>
      </c>
      <c r="G15" s="35">
        <f t="shared" si="0"/>
        <v>61.666666666666664</v>
      </c>
      <c r="H15" s="11">
        <v>9</v>
      </c>
      <c r="I15" s="1">
        <v>3</v>
      </c>
      <c r="J15" s="1" t="s">
        <v>16</v>
      </c>
      <c r="K15" s="16">
        <v>1</v>
      </c>
      <c r="L15" s="7">
        <v>77</v>
      </c>
      <c r="M15" s="7">
        <v>9</v>
      </c>
      <c r="N15" s="7">
        <v>14</v>
      </c>
      <c r="O15" s="7">
        <v>5</v>
      </c>
      <c r="P15" s="18" t="s">
        <v>16</v>
      </c>
      <c r="Q15" s="18" t="s">
        <v>16</v>
      </c>
      <c r="R15" s="17">
        <v>123</v>
      </c>
      <c r="S15" s="7">
        <v>179</v>
      </c>
      <c r="T15" s="7">
        <v>8</v>
      </c>
      <c r="U15" s="7">
        <v>32</v>
      </c>
      <c r="V15" s="7">
        <v>11</v>
      </c>
      <c r="W15" s="7">
        <v>5</v>
      </c>
      <c r="X15" s="7" t="s">
        <v>16</v>
      </c>
      <c r="Y15" s="7">
        <v>3</v>
      </c>
      <c r="Z15" s="7">
        <v>159</v>
      </c>
      <c r="AA15" s="7">
        <v>181</v>
      </c>
      <c r="AB15" s="7" t="s">
        <v>16</v>
      </c>
      <c r="AC15" s="7" t="s">
        <v>16</v>
      </c>
      <c r="AD15" s="7">
        <v>2</v>
      </c>
      <c r="AE15" s="7">
        <v>1</v>
      </c>
      <c r="AF15" s="37"/>
    </row>
    <row r="16" spans="1:32" ht="15" customHeight="1">
      <c r="A16" s="13">
        <v>11</v>
      </c>
      <c r="B16" s="22">
        <v>847</v>
      </c>
      <c r="C16" s="2">
        <v>126</v>
      </c>
      <c r="D16" s="23">
        <v>28</v>
      </c>
      <c r="E16" s="1">
        <v>21</v>
      </c>
      <c r="F16" s="23">
        <v>192</v>
      </c>
      <c r="G16" s="35">
        <f t="shared" si="0"/>
        <v>64</v>
      </c>
      <c r="H16" s="11">
        <v>9</v>
      </c>
      <c r="I16" s="1">
        <v>1</v>
      </c>
      <c r="J16" s="1">
        <v>5</v>
      </c>
      <c r="K16" s="16">
        <v>1</v>
      </c>
      <c r="L16" s="7">
        <v>64</v>
      </c>
      <c r="M16" s="7">
        <v>13</v>
      </c>
      <c r="N16" s="7">
        <v>14</v>
      </c>
      <c r="O16" s="7">
        <v>5</v>
      </c>
      <c r="P16" s="18" t="s">
        <v>16</v>
      </c>
      <c r="Q16" s="18" t="s">
        <v>16</v>
      </c>
      <c r="R16" s="17">
        <v>129</v>
      </c>
      <c r="S16" s="7">
        <v>240</v>
      </c>
      <c r="T16" s="7">
        <v>10</v>
      </c>
      <c r="U16" s="7">
        <v>15</v>
      </c>
      <c r="V16" s="7">
        <v>8</v>
      </c>
      <c r="W16" s="7">
        <v>6</v>
      </c>
      <c r="X16" s="7" t="s">
        <v>16</v>
      </c>
      <c r="Y16" s="7">
        <v>1</v>
      </c>
      <c r="Z16" s="7">
        <v>162</v>
      </c>
      <c r="AA16" s="7">
        <v>221</v>
      </c>
      <c r="AB16" s="7" t="s">
        <v>16</v>
      </c>
      <c r="AC16" s="7" t="s">
        <v>16</v>
      </c>
      <c r="AD16" s="7">
        <v>1</v>
      </c>
      <c r="AE16" s="7" t="s">
        <v>16</v>
      </c>
      <c r="AF16" s="37"/>
    </row>
    <row r="17" spans="1:32" ht="15" customHeight="1">
      <c r="A17" s="13">
        <v>12</v>
      </c>
      <c r="B17" s="24">
        <v>852</v>
      </c>
      <c r="C17" s="14">
        <v>119</v>
      </c>
      <c r="D17" s="34">
        <v>22</v>
      </c>
      <c r="E17" s="7">
        <v>39</v>
      </c>
      <c r="F17" s="34">
        <v>175</v>
      </c>
      <c r="G17" s="35">
        <f t="shared" si="0"/>
        <v>58.333333333333336</v>
      </c>
      <c r="H17" s="15">
        <v>7</v>
      </c>
      <c r="I17" s="7">
        <v>5</v>
      </c>
      <c r="J17" s="7" t="s">
        <v>16</v>
      </c>
      <c r="K17" s="17">
        <v>2</v>
      </c>
      <c r="L17" s="7">
        <v>29</v>
      </c>
      <c r="M17" s="7">
        <v>18</v>
      </c>
      <c r="N17" s="7">
        <v>11</v>
      </c>
      <c r="O17" s="7">
        <v>7</v>
      </c>
      <c r="P17" s="18" t="s">
        <v>16</v>
      </c>
      <c r="Q17" s="18" t="s">
        <v>16</v>
      </c>
      <c r="R17" s="17">
        <v>71</v>
      </c>
      <c r="S17" s="7">
        <v>273</v>
      </c>
      <c r="T17" s="7">
        <v>2</v>
      </c>
      <c r="U17" s="7">
        <v>10</v>
      </c>
      <c r="V17" s="7">
        <v>4</v>
      </c>
      <c r="W17" s="7">
        <v>13</v>
      </c>
      <c r="X17" s="7" t="s">
        <v>16</v>
      </c>
      <c r="Y17" s="7">
        <v>1</v>
      </c>
      <c r="Z17" s="7">
        <v>83</v>
      </c>
      <c r="AA17" s="7">
        <v>156</v>
      </c>
      <c r="AB17" s="7" t="s">
        <v>16</v>
      </c>
      <c r="AC17" s="7">
        <v>6</v>
      </c>
      <c r="AD17" s="7">
        <v>1</v>
      </c>
      <c r="AE17" s="7" t="s">
        <v>16</v>
      </c>
      <c r="AF17" s="37"/>
    </row>
    <row r="18" spans="1:32" ht="15" customHeight="1">
      <c r="A18" s="13">
        <v>13</v>
      </c>
      <c r="B18" s="22">
        <v>826</v>
      </c>
      <c r="C18" s="2">
        <v>120</v>
      </c>
      <c r="D18" s="23">
        <v>17</v>
      </c>
      <c r="E18" s="1">
        <v>28</v>
      </c>
      <c r="F18" s="23">
        <v>164</v>
      </c>
      <c r="G18" s="35">
        <f t="shared" si="0"/>
        <v>54.666666666666664</v>
      </c>
      <c r="H18" s="11">
        <v>4</v>
      </c>
      <c r="I18" s="1">
        <v>1</v>
      </c>
      <c r="J18" s="1" t="s">
        <v>16</v>
      </c>
      <c r="K18" s="16" t="s">
        <v>16</v>
      </c>
      <c r="L18" s="1">
        <v>48</v>
      </c>
      <c r="M18" s="1">
        <v>1</v>
      </c>
      <c r="N18" s="1">
        <v>8</v>
      </c>
      <c r="O18" s="1">
        <v>3</v>
      </c>
      <c r="P18" s="18" t="s">
        <v>16</v>
      </c>
      <c r="Q18" s="18" t="s">
        <v>16</v>
      </c>
      <c r="R18" s="16">
        <v>75</v>
      </c>
      <c r="S18" s="1">
        <v>145</v>
      </c>
      <c r="T18" s="1">
        <v>8</v>
      </c>
      <c r="U18" s="1">
        <v>29</v>
      </c>
      <c r="V18" s="1">
        <v>8</v>
      </c>
      <c r="W18" s="1">
        <v>1</v>
      </c>
      <c r="X18" s="1" t="s">
        <v>16</v>
      </c>
      <c r="Y18" s="1">
        <v>3</v>
      </c>
      <c r="Z18" s="1">
        <v>120</v>
      </c>
      <c r="AA18" s="1">
        <v>128</v>
      </c>
      <c r="AB18" s="1" t="s">
        <v>16</v>
      </c>
      <c r="AC18" s="1">
        <v>1</v>
      </c>
      <c r="AD18" s="1">
        <v>1</v>
      </c>
      <c r="AE18" s="1" t="s">
        <v>16</v>
      </c>
      <c r="AF18" s="37"/>
    </row>
    <row r="19" spans="1:32" ht="15" customHeight="1">
      <c r="A19" s="13">
        <v>14</v>
      </c>
      <c r="B19" s="24">
        <v>526</v>
      </c>
      <c r="C19" s="14">
        <v>123</v>
      </c>
      <c r="D19" s="34">
        <v>13</v>
      </c>
      <c r="E19" s="7">
        <v>47</v>
      </c>
      <c r="F19" s="34">
        <v>130</v>
      </c>
      <c r="G19" s="35">
        <f t="shared" si="0"/>
        <v>43.333333333333336</v>
      </c>
      <c r="H19" s="15">
        <v>2</v>
      </c>
      <c r="I19" s="7">
        <v>5</v>
      </c>
      <c r="J19" s="7">
        <v>1</v>
      </c>
      <c r="K19" s="17" t="s">
        <v>16</v>
      </c>
      <c r="L19" s="7">
        <v>36</v>
      </c>
      <c r="M19" s="7">
        <v>7</v>
      </c>
      <c r="N19" s="7">
        <v>6</v>
      </c>
      <c r="O19" s="7">
        <v>4</v>
      </c>
      <c r="P19" s="18" t="s">
        <v>16</v>
      </c>
      <c r="Q19" s="18" t="s">
        <v>16</v>
      </c>
      <c r="R19" s="17">
        <v>25</v>
      </c>
      <c r="S19" s="7">
        <v>165</v>
      </c>
      <c r="T19" s="7">
        <v>2</v>
      </c>
      <c r="U19" s="7">
        <v>13</v>
      </c>
      <c r="V19" s="7">
        <v>5</v>
      </c>
      <c r="W19" s="7">
        <v>4</v>
      </c>
      <c r="X19" s="7" t="s">
        <v>16</v>
      </c>
      <c r="Y19" s="7" t="s">
        <v>16</v>
      </c>
      <c r="Z19" s="7">
        <v>54</v>
      </c>
      <c r="AA19" s="7">
        <v>162</v>
      </c>
      <c r="AB19" s="7">
        <v>3</v>
      </c>
      <c r="AC19" s="7">
        <v>4</v>
      </c>
      <c r="AD19" s="7" t="s">
        <v>16</v>
      </c>
      <c r="AE19" s="7" t="s">
        <v>16</v>
      </c>
      <c r="AF19" s="37"/>
    </row>
    <row r="20" spans="1:32" ht="15" customHeight="1">
      <c r="A20" s="10">
        <v>15</v>
      </c>
      <c r="B20" s="25">
        <v>0</v>
      </c>
      <c r="C20" s="26">
        <v>197</v>
      </c>
      <c r="D20" s="27">
        <v>9</v>
      </c>
      <c r="E20" s="6">
        <v>18</v>
      </c>
      <c r="F20" s="27">
        <v>121</v>
      </c>
      <c r="G20" s="28">
        <f t="shared" si="0"/>
        <v>40.333333333333336</v>
      </c>
      <c r="H20" s="29" t="s">
        <v>16</v>
      </c>
      <c r="I20" s="6" t="s">
        <v>16</v>
      </c>
      <c r="J20" s="6" t="s">
        <v>16</v>
      </c>
      <c r="K20" s="31" t="s">
        <v>16</v>
      </c>
      <c r="L20" s="6">
        <v>9</v>
      </c>
      <c r="M20" s="6">
        <v>1</v>
      </c>
      <c r="N20" s="6">
        <v>0</v>
      </c>
      <c r="O20" s="6">
        <v>0</v>
      </c>
      <c r="P20" s="30" t="s">
        <v>16</v>
      </c>
      <c r="Q20" s="30" t="s">
        <v>16</v>
      </c>
      <c r="R20" s="31" t="s">
        <v>16</v>
      </c>
      <c r="S20" s="6">
        <v>73</v>
      </c>
      <c r="T20" s="6">
        <v>0</v>
      </c>
      <c r="U20" s="6">
        <v>0</v>
      </c>
      <c r="V20" s="6">
        <v>0</v>
      </c>
      <c r="W20" s="6">
        <v>0</v>
      </c>
      <c r="X20" s="6" t="s">
        <v>16</v>
      </c>
      <c r="Y20" s="6" t="s">
        <v>16</v>
      </c>
      <c r="Z20" s="6" t="s">
        <v>16</v>
      </c>
      <c r="AA20" s="6">
        <v>12</v>
      </c>
      <c r="AB20" s="6" t="s">
        <v>16</v>
      </c>
      <c r="AC20" s="6" t="s">
        <v>16</v>
      </c>
      <c r="AD20" s="6" t="s">
        <v>16</v>
      </c>
      <c r="AE20" s="6" t="s">
        <v>16</v>
      </c>
      <c r="AF20" s="37"/>
    </row>
    <row r="21" spans="1:32" ht="15" customHeight="1">
      <c r="A21" s="10">
        <v>16</v>
      </c>
      <c r="B21" s="25">
        <v>0</v>
      </c>
      <c r="C21" s="26">
        <v>200</v>
      </c>
      <c r="D21" s="27">
        <v>8</v>
      </c>
      <c r="E21" s="6">
        <v>6</v>
      </c>
      <c r="F21" s="27">
        <v>123</v>
      </c>
      <c r="G21" s="28">
        <f t="shared" si="0"/>
        <v>41</v>
      </c>
      <c r="H21" s="29">
        <v>2</v>
      </c>
      <c r="I21" s="6" t="s">
        <v>16</v>
      </c>
      <c r="J21" s="6" t="s">
        <v>16</v>
      </c>
      <c r="K21" s="31">
        <v>1</v>
      </c>
      <c r="L21" s="6">
        <v>10</v>
      </c>
      <c r="M21" s="6">
        <v>4</v>
      </c>
      <c r="N21" s="6">
        <v>0</v>
      </c>
      <c r="O21" s="6">
        <v>0</v>
      </c>
      <c r="P21" s="30" t="s">
        <v>16</v>
      </c>
      <c r="Q21" s="30" t="s">
        <v>16</v>
      </c>
      <c r="R21" s="32" t="s">
        <v>16</v>
      </c>
      <c r="S21" s="6">
        <v>54</v>
      </c>
      <c r="T21" s="6">
        <v>0</v>
      </c>
      <c r="U21" s="6">
        <v>0</v>
      </c>
      <c r="V21" s="6">
        <v>0</v>
      </c>
      <c r="W21" s="6">
        <v>0</v>
      </c>
      <c r="X21" s="6" t="s">
        <v>16</v>
      </c>
      <c r="Y21" s="6" t="s">
        <v>16</v>
      </c>
      <c r="Z21" s="6" t="s">
        <v>16</v>
      </c>
      <c r="AA21" s="6">
        <v>30</v>
      </c>
      <c r="AB21" s="6" t="s">
        <v>16</v>
      </c>
      <c r="AC21" s="6" t="s">
        <v>16</v>
      </c>
      <c r="AD21" s="6" t="s">
        <v>16</v>
      </c>
      <c r="AE21" s="6" t="s">
        <v>16</v>
      </c>
      <c r="AF21" s="37"/>
    </row>
    <row r="22" spans="1:32" ht="15" customHeight="1">
      <c r="A22" s="13">
        <v>17</v>
      </c>
      <c r="B22" s="24">
        <v>458</v>
      </c>
      <c r="C22" s="14">
        <v>138</v>
      </c>
      <c r="D22" s="34">
        <v>25</v>
      </c>
      <c r="E22" s="7">
        <v>23</v>
      </c>
      <c r="F22" s="34">
        <v>125</v>
      </c>
      <c r="G22" s="35">
        <f t="shared" si="0"/>
        <v>41.666666666666664</v>
      </c>
      <c r="H22" s="15">
        <v>4</v>
      </c>
      <c r="I22" s="7">
        <v>1</v>
      </c>
      <c r="J22" s="7">
        <v>2</v>
      </c>
      <c r="K22" s="17">
        <v>3</v>
      </c>
      <c r="L22" s="7">
        <v>24</v>
      </c>
      <c r="M22" s="7">
        <v>8</v>
      </c>
      <c r="N22" s="7">
        <v>8</v>
      </c>
      <c r="O22" s="7">
        <v>7</v>
      </c>
      <c r="P22" s="18" t="s">
        <v>16</v>
      </c>
      <c r="Q22" s="18"/>
      <c r="R22" s="17">
        <v>52</v>
      </c>
      <c r="S22" s="7">
        <v>167</v>
      </c>
      <c r="T22" s="7">
        <v>4</v>
      </c>
      <c r="U22" s="7">
        <v>20</v>
      </c>
      <c r="V22" s="7">
        <v>2</v>
      </c>
      <c r="W22" s="7">
        <v>6</v>
      </c>
      <c r="X22" s="7" t="s">
        <v>16</v>
      </c>
      <c r="Y22" s="7" t="s">
        <v>16</v>
      </c>
      <c r="Z22" s="7">
        <v>33</v>
      </c>
      <c r="AA22" s="7">
        <v>163</v>
      </c>
      <c r="AB22" s="7" t="s">
        <v>16</v>
      </c>
      <c r="AC22" s="7">
        <v>3</v>
      </c>
      <c r="AD22" s="7" t="s">
        <v>16</v>
      </c>
      <c r="AE22" s="7" t="s">
        <v>16</v>
      </c>
      <c r="AF22" s="37"/>
    </row>
    <row r="23" spans="1:32" ht="15" customHeight="1">
      <c r="A23" s="13">
        <v>18</v>
      </c>
      <c r="B23" s="22">
        <v>1077</v>
      </c>
      <c r="C23" s="2">
        <v>167</v>
      </c>
      <c r="D23" s="23">
        <v>69</v>
      </c>
      <c r="E23" s="1">
        <v>16</v>
      </c>
      <c r="F23" s="23">
        <v>178</v>
      </c>
      <c r="G23" s="35">
        <f t="shared" si="0"/>
        <v>59.333333333333336</v>
      </c>
      <c r="H23" s="11" t="s">
        <v>16</v>
      </c>
      <c r="I23" s="1">
        <v>2</v>
      </c>
      <c r="J23" s="1">
        <v>2</v>
      </c>
      <c r="K23" s="16" t="s">
        <v>16</v>
      </c>
      <c r="L23" s="7">
        <v>77</v>
      </c>
      <c r="M23" s="7">
        <v>34</v>
      </c>
      <c r="N23" s="7">
        <v>15</v>
      </c>
      <c r="O23" s="7">
        <v>4</v>
      </c>
      <c r="P23" s="18" t="s">
        <v>16</v>
      </c>
      <c r="Q23" s="18" t="s">
        <v>27</v>
      </c>
      <c r="R23" s="17">
        <v>94</v>
      </c>
      <c r="S23" s="7">
        <v>429</v>
      </c>
      <c r="T23" s="7">
        <v>2</v>
      </c>
      <c r="U23" s="7">
        <v>15</v>
      </c>
      <c r="V23" s="7">
        <v>1</v>
      </c>
      <c r="W23" s="7">
        <v>13</v>
      </c>
      <c r="X23" s="7" t="s">
        <v>16</v>
      </c>
      <c r="Y23" s="7">
        <v>0</v>
      </c>
      <c r="Z23" s="7">
        <v>80</v>
      </c>
      <c r="AA23" s="7">
        <v>324</v>
      </c>
      <c r="AB23" s="7">
        <v>1</v>
      </c>
      <c r="AC23" s="7" t="s">
        <v>16</v>
      </c>
      <c r="AD23" s="7" t="s">
        <v>16</v>
      </c>
      <c r="AE23" s="7" t="s">
        <v>16</v>
      </c>
      <c r="AF23" s="37"/>
    </row>
    <row r="24" spans="1:32" ht="15" customHeight="1">
      <c r="A24" s="13">
        <v>19</v>
      </c>
      <c r="B24" s="24">
        <v>902</v>
      </c>
      <c r="C24" s="14">
        <v>153</v>
      </c>
      <c r="D24" s="34">
        <v>77</v>
      </c>
      <c r="E24" s="7">
        <v>21</v>
      </c>
      <c r="F24" s="34">
        <v>234</v>
      </c>
      <c r="G24" s="35">
        <f t="shared" si="0"/>
        <v>78</v>
      </c>
      <c r="H24" s="15">
        <v>1</v>
      </c>
      <c r="I24" s="7">
        <v>9</v>
      </c>
      <c r="J24" s="7" t="s">
        <v>16</v>
      </c>
      <c r="K24" s="17" t="s">
        <v>16</v>
      </c>
      <c r="L24" s="7">
        <v>58</v>
      </c>
      <c r="M24" s="7">
        <v>30</v>
      </c>
      <c r="N24" s="7">
        <v>17</v>
      </c>
      <c r="O24" s="7">
        <v>10</v>
      </c>
      <c r="P24" s="18" t="s">
        <v>16</v>
      </c>
      <c r="Q24" s="18" t="s">
        <v>16</v>
      </c>
      <c r="R24" s="17">
        <v>83</v>
      </c>
      <c r="S24" s="7">
        <v>494</v>
      </c>
      <c r="T24" s="7">
        <v>8</v>
      </c>
      <c r="U24" s="7">
        <v>35</v>
      </c>
      <c r="V24" s="7">
        <v>10</v>
      </c>
      <c r="W24" s="7">
        <v>7</v>
      </c>
      <c r="X24" s="7" t="s">
        <v>16</v>
      </c>
      <c r="Y24" s="7">
        <v>4</v>
      </c>
      <c r="Z24" s="7">
        <v>73</v>
      </c>
      <c r="AA24" s="7">
        <v>215</v>
      </c>
      <c r="AB24" s="7">
        <v>1</v>
      </c>
      <c r="AC24" s="7">
        <v>5</v>
      </c>
      <c r="AD24" s="7">
        <v>1</v>
      </c>
      <c r="AE24" s="7" t="s">
        <v>16</v>
      </c>
      <c r="AF24" s="37"/>
    </row>
    <row r="25" spans="1:32" ht="15" customHeight="1">
      <c r="A25" s="13">
        <v>20</v>
      </c>
      <c r="B25" s="22">
        <v>1009</v>
      </c>
      <c r="C25" s="2">
        <v>121</v>
      </c>
      <c r="D25" s="23">
        <v>42</v>
      </c>
      <c r="E25" s="1">
        <v>29</v>
      </c>
      <c r="F25" s="23">
        <v>247</v>
      </c>
      <c r="G25" s="35">
        <f t="shared" si="0"/>
        <v>82.33333333333333</v>
      </c>
      <c r="H25" s="11">
        <v>7</v>
      </c>
      <c r="I25" s="1">
        <v>10</v>
      </c>
      <c r="J25" s="1">
        <v>3</v>
      </c>
      <c r="K25" s="16">
        <v>2</v>
      </c>
      <c r="L25" s="1">
        <v>58</v>
      </c>
      <c r="M25" s="1">
        <v>24</v>
      </c>
      <c r="N25" s="1">
        <v>17</v>
      </c>
      <c r="O25" s="1">
        <v>8</v>
      </c>
      <c r="P25" s="18" t="s">
        <v>16</v>
      </c>
      <c r="Q25" s="18" t="s">
        <v>16</v>
      </c>
      <c r="R25" s="16">
        <v>106</v>
      </c>
      <c r="S25" s="1">
        <v>420</v>
      </c>
      <c r="T25" s="1">
        <v>0</v>
      </c>
      <c r="U25" s="1">
        <v>19</v>
      </c>
      <c r="V25" s="1">
        <v>7</v>
      </c>
      <c r="W25" s="1">
        <v>7</v>
      </c>
      <c r="X25" s="1" t="s">
        <v>16</v>
      </c>
      <c r="Y25" s="1">
        <v>0</v>
      </c>
      <c r="Z25" s="1">
        <v>156</v>
      </c>
      <c r="AA25" s="1">
        <v>330</v>
      </c>
      <c r="AB25" s="1">
        <v>2</v>
      </c>
      <c r="AC25" s="1">
        <v>4</v>
      </c>
      <c r="AD25" s="1">
        <v>3</v>
      </c>
      <c r="AE25" s="1" t="s">
        <v>16</v>
      </c>
      <c r="AF25" s="37"/>
    </row>
    <row r="26" spans="1:32" ht="15" customHeight="1">
      <c r="A26" s="13">
        <v>21</v>
      </c>
      <c r="B26" s="24">
        <v>776</v>
      </c>
      <c r="C26" s="14">
        <v>133</v>
      </c>
      <c r="D26" s="34">
        <v>28</v>
      </c>
      <c r="E26" s="7">
        <v>19</v>
      </c>
      <c r="F26" s="34">
        <v>256</v>
      </c>
      <c r="G26" s="35">
        <f t="shared" si="0"/>
        <v>85.33333333333333</v>
      </c>
      <c r="H26" s="15">
        <v>3</v>
      </c>
      <c r="I26" s="7" t="s">
        <v>16</v>
      </c>
      <c r="J26" s="7">
        <v>3</v>
      </c>
      <c r="K26" s="17" t="s">
        <v>16</v>
      </c>
      <c r="L26" s="7">
        <v>38</v>
      </c>
      <c r="M26" s="7">
        <v>8</v>
      </c>
      <c r="N26" s="7">
        <v>13</v>
      </c>
      <c r="O26" s="7">
        <v>12</v>
      </c>
      <c r="P26" s="18" t="s">
        <v>16</v>
      </c>
      <c r="Q26" s="18" t="s">
        <v>16</v>
      </c>
      <c r="R26" s="17">
        <v>179</v>
      </c>
      <c r="S26" s="7">
        <v>248</v>
      </c>
      <c r="T26" s="7">
        <v>7</v>
      </c>
      <c r="U26" s="7">
        <v>20</v>
      </c>
      <c r="V26" s="7">
        <v>3</v>
      </c>
      <c r="W26" s="7">
        <v>5</v>
      </c>
      <c r="X26" s="7" t="s">
        <v>16</v>
      </c>
      <c r="Y26" s="7">
        <v>5</v>
      </c>
      <c r="Z26" s="7">
        <v>116</v>
      </c>
      <c r="AA26" s="7">
        <v>235</v>
      </c>
      <c r="AB26" s="7" t="s">
        <v>16</v>
      </c>
      <c r="AC26" s="7">
        <v>2</v>
      </c>
      <c r="AD26" s="7" t="s">
        <v>16</v>
      </c>
      <c r="AE26" s="7">
        <v>1</v>
      </c>
      <c r="AF26" s="37"/>
    </row>
    <row r="27" spans="1:32" ht="15" customHeight="1">
      <c r="A27" s="13">
        <v>22</v>
      </c>
      <c r="B27" s="22">
        <v>1020</v>
      </c>
      <c r="C27" s="2">
        <v>137</v>
      </c>
      <c r="D27" s="23">
        <v>37</v>
      </c>
      <c r="E27" s="1">
        <v>41</v>
      </c>
      <c r="F27" s="23">
        <v>251</v>
      </c>
      <c r="G27" s="35">
        <f t="shared" si="0"/>
        <v>83.66666666666667</v>
      </c>
      <c r="H27" s="11">
        <v>2</v>
      </c>
      <c r="I27" s="1">
        <v>2</v>
      </c>
      <c r="J27" s="1">
        <v>2</v>
      </c>
      <c r="K27" s="16">
        <v>1</v>
      </c>
      <c r="L27" s="1">
        <v>44</v>
      </c>
      <c r="M27" s="1">
        <v>12</v>
      </c>
      <c r="N27" s="1">
        <v>19</v>
      </c>
      <c r="O27" s="1">
        <v>3</v>
      </c>
      <c r="P27" s="18" t="s">
        <v>16</v>
      </c>
      <c r="Q27" s="18" t="s">
        <v>16</v>
      </c>
      <c r="R27" s="16">
        <v>98</v>
      </c>
      <c r="S27" s="1">
        <v>240</v>
      </c>
      <c r="T27" s="1">
        <v>4</v>
      </c>
      <c r="U27" s="1">
        <v>17</v>
      </c>
      <c r="V27" s="1">
        <v>4</v>
      </c>
      <c r="W27" s="1">
        <v>3</v>
      </c>
      <c r="X27" s="1" t="s">
        <v>16</v>
      </c>
      <c r="Y27" s="1">
        <v>2</v>
      </c>
      <c r="Z27" s="1">
        <v>73</v>
      </c>
      <c r="AA27" s="1">
        <v>214</v>
      </c>
      <c r="AB27" s="1">
        <v>3</v>
      </c>
      <c r="AC27" s="1">
        <v>2</v>
      </c>
      <c r="AD27" s="1" t="s">
        <v>16</v>
      </c>
      <c r="AE27" s="1">
        <v>1</v>
      </c>
      <c r="AF27" s="37"/>
    </row>
    <row r="28" spans="1:32" ht="15" customHeight="1">
      <c r="A28" s="10">
        <v>23</v>
      </c>
      <c r="B28" s="25">
        <v>0</v>
      </c>
      <c r="C28" s="26">
        <v>221</v>
      </c>
      <c r="D28" s="27">
        <v>7</v>
      </c>
      <c r="E28" s="6">
        <v>17</v>
      </c>
      <c r="F28" s="27">
        <v>241</v>
      </c>
      <c r="G28" s="28">
        <f t="shared" si="0"/>
        <v>80.33333333333333</v>
      </c>
      <c r="H28" s="29">
        <v>2</v>
      </c>
      <c r="I28" s="6" t="s">
        <v>16</v>
      </c>
      <c r="J28" s="6" t="s">
        <v>16</v>
      </c>
      <c r="K28" s="31" t="s">
        <v>16</v>
      </c>
      <c r="L28" s="6">
        <v>6</v>
      </c>
      <c r="M28" s="6">
        <v>5</v>
      </c>
      <c r="N28" s="6">
        <v>0</v>
      </c>
      <c r="O28" s="6">
        <v>0</v>
      </c>
      <c r="P28" s="30" t="s">
        <v>16</v>
      </c>
      <c r="Q28" s="30" t="s">
        <v>16</v>
      </c>
      <c r="R28" s="31" t="s">
        <v>16</v>
      </c>
      <c r="S28" s="6">
        <v>67</v>
      </c>
      <c r="T28" s="6">
        <v>0</v>
      </c>
      <c r="U28" s="6">
        <v>0</v>
      </c>
      <c r="V28" s="6">
        <v>0</v>
      </c>
      <c r="W28" s="6">
        <v>0</v>
      </c>
      <c r="X28" s="6" t="s">
        <v>16</v>
      </c>
      <c r="Y28" s="6" t="s">
        <v>16</v>
      </c>
      <c r="Z28" s="6" t="s">
        <v>16</v>
      </c>
      <c r="AA28" s="6">
        <v>3</v>
      </c>
      <c r="AB28" s="6" t="s">
        <v>16</v>
      </c>
      <c r="AC28" s="6" t="s">
        <v>16</v>
      </c>
      <c r="AD28" s="6" t="s">
        <v>16</v>
      </c>
      <c r="AE28" s="6" t="s">
        <v>16</v>
      </c>
      <c r="AF28" s="37"/>
    </row>
    <row r="29" spans="1:32" ht="15" customHeight="1">
      <c r="A29" s="13">
        <v>24</v>
      </c>
      <c r="B29" s="22">
        <v>1173</v>
      </c>
      <c r="C29" s="2">
        <v>127</v>
      </c>
      <c r="D29" s="23">
        <v>24</v>
      </c>
      <c r="E29" s="1">
        <v>35</v>
      </c>
      <c r="F29" s="23">
        <v>230</v>
      </c>
      <c r="G29" s="35">
        <f t="shared" si="0"/>
        <v>76.66666666666667</v>
      </c>
      <c r="H29" s="11">
        <v>8</v>
      </c>
      <c r="I29" s="1">
        <v>3</v>
      </c>
      <c r="J29" s="1">
        <v>2</v>
      </c>
      <c r="K29" s="16" t="s">
        <v>16</v>
      </c>
      <c r="L29" s="7">
        <v>62</v>
      </c>
      <c r="M29" s="7">
        <v>15</v>
      </c>
      <c r="N29" s="7">
        <v>16</v>
      </c>
      <c r="O29" s="7">
        <v>5</v>
      </c>
      <c r="P29" s="18" t="s">
        <v>16</v>
      </c>
      <c r="Q29" s="18" t="s">
        <v>16</v>
      </c>
      <c r="R29" s="17">
        <v>84</v>
      </c>
      <c r="S29" s="7">
        <v>224</v>
      </c>
      <c r="T29" s="7">
        <v>10</v>
      </c>
      <c r="U29" s="7">
        <v>18</v>
      </c>
      <c r="V29" s="7">
        <v>10</v>
      </c>
      <c r="W29" s="7">
        <v>5</v>
      </c>
      <c r="X29" s="7" t="s">
        <v>16</v>
      </c>
      <c r="Y29" s="7">
        <v>3</v>
      </c>
      <c r="Z29" s="7">
        <v>123</v>
      </c>
      <c r="AA29" s="7">
        <v>118</v>
      </c>
      <c r="AB29" s="7" t="s">
        <v>16</v>
      </c>
      <c r="AC29" s="7" t="s">
        <v>16</v>
      </c>
      <c r="AD29" s="7">
        <v>2</v>
      </c>
      <c r="AE29" s="7" t="s">
        <v>16</v>
      </c>
      <c r="AF29" s="37"/>
    </row>
    <row r="30" spans="1:32" ht="15" customHeight="1">
      <c r="A30" s="13">
        <v>25</v>
      </c>
      <c r="B30" s="24">
        <v>1073</v>
      </c>
      <c r="C30" s="14">
        <v>156</v>
      </c>
      <c r="D30" s="34">
        <v>47</v>
      </c>
      <c r="E30" s="7">
        <v>44</v>
      </c>
      <c r="F30" s="34">
        <v>233</v>
      </c>
      <c r="G30" s="35">
        <f t="shared" si="0"/>
        <v>77.66666666666667</v>
      </c>
      <c r="H30" s="15">
        <v>9</v>
      </c>
      <c r="I30" s="7" t="s">
        <v>16</v>
      </c>
      <c r="J30" s="7">
        <v>3</v>
      </c>
      <c r="K30" s="17">
        <v>1</v>
      </c>
      <c r="L30" s="7">
        <v>70</v>
      </c>
      <c r="M30" s="7">
        <v>14</v>
      </c>
      <c r="N30" s="7">
        <v>16</v>
      </c>
      <c r="O30" s="7">
        <v>4</v>
      </c>
      <c r="P30" s="18" t="s">
        <v>16</v>
      </c>
      <c r="Q30" s="18" t="s">
        <v>16</v>
      </c>
      <c r="R30" s="17">
        <v>134</v>
      </c>
      <c r="S30" s="7">
        <v>317</v>
      </c>
      <c r="T30" s="7">
        <v>10</v>
      </c>
      <c r="U30" s="7">
        <v>7</v>
      </c>
      <c r="V30" s="7">
        <v>1</v>
      </c>
      <c r="W30" s="7">
        <v>8</v>
      </c>
      <c r="X30" s="7" t="s">
        <v>16</v>
      </c>
      <c r="Y30" s="7">
        <v>2</v>
      </c>
      <c r="Z30" s="7">
        <v>102</v>
      </c>
      <c r="AA30" s="7">
        <v>167</v>
      </c>
      <c r="AB30" s="7">
        <v>2</v>
      </c>
      <c r="AC30" s="7">
        <v>12</v>
      </c>
      <c r="AD30" s="7">
        <v>5</v>
      </c>
      <c r="AE30" s="7">
        <v>2</v>
      </c>
      <c r="AF30" s="37"/>
    </row>
    <row r="31" spans="1:32" ht="15" customHeight="1">
      <c r="A31" s="10">
        <v>26</v>
      </c>
      <c r="B31" s="25">
        <v>0</v>
      </c>
      <c r="C31" s="26">
        <v>228</v>
      </c>
      <c r="D31" s="27">
        <v>11</v>
      </c>
      <c r="E31" s="6">
        <v>29</v>
      </c>
      <c r="F31" s="27">
        <v>215</v>
      </c>
      <c r="G31" s="28">
        <f t="shared" si="0"/>
        <v>71.66666666666667</v>
      </c>
      <c r="H31" s="29" t="s">
        <v>16</v>
      </c>
      <c r="I31" s="6" t="s">
        <v>16</v>
      </c>
      <c r="J31" s="6">
        <v>1</v>
      </c>
      <c r="K31" s="31" t="s">
        <v>16</v>
      </c>
      <c r="L31" s="6">
        <v>7</v>
      </c>
      <c r="M31" s="6">
        <v>2</v>
      </c>
      <c r="N31" s="6">
        <v>0</v>
      </c>
      <c r="O31" s="6">
        <v>0</v>
      </c>
      <c r="P31" s="30" t="s">
        <v>16</v>
      </c>
      <c r="Q31" s="30" t="s">
        <v>16</v>
      </c>
      <c r="R31" s="32" t="s">
        <v>16</v>
      </c>
      <c r="S31" s="6">
        <v>76</v>
      </c>
      <c r="T31" s="6">
        <v>0</v>
      </c>
      <c r="U31" s="6">
        <v>0</v>
      </c>
      <c r="V31" s="6">
        <v>0</v>
      </c>
      <c r="W31" s="6">
        <v>0</v>
      </c>
      <c r="X31" s="6" t="s">
        <v>16</v>
      </c>
      <c r="Y31" s="6" t="s">
        <v>16</v>
      </c>
      <c r="Z31" s="6" t="s">
        <v>16</v>
      </c>
      <c r="AA31" s="6">
        <v>40</v>
      </c>
      <c r="AB31" s="6" t="s">
        <v>16</v>
      </c>
      <c r="AC31" s="6" t="s">
        <v>16</v>
      </c>
      <c r="AD31" s="6" t="s">
        <v>16</v>
      </c>
      <c r="AE31" s="6" t="s">
        <v>16</v>
      </c>
      <c r="AF31" s="37"/>
    </row>
    <row r="32" spans="1:32" ht="15" customHeight="1">
      <c r="A32" s="13">
        <v>27</v>
      </c>
      <c r="B32" s="22">
        <v>1333</v>
      </c>
      <c r="C32" s="2">
        <v>162</v>
      </c>
      <c r="D32" s="23">
        <v>51</v>
      </c>
      <c r="E32" s="1">
        <v>75</v>
      </c>
      <c r="F32" s="23">
        <v>191</v>
      </c>
      <c r="G32" s="35">
        <f t="shared" si="0"/>
        <v>63.666666666666664</v>
      </c>
      <c r="H32" s="11">
        <v>8</v>
      </c>
      <c r="I32" s="1" t="s">
        <v>16</v>
      </c>
      <c r="J32" s="1">
        <v>2</v>
      </c>
      <c r="K32" s="16">
        <v>2</v>
      </c>
      <c r="L32" s="7">
        <v>69</v>
      </c>
      <c r="M32" s="7">
        <v>13</v>
      </c>
      <c r="N32" s="7">
        <v>8</v>
      </c>
      <c r="O32" s="7">
        <v>12</v>
      </c>
      <c r="P32" s="18" t="s">
        <v>16</v>
      </c>
      <c r="Q32" s="18" t="s">
        <v>16</v>
      </c>
      <c r="R32" s="17">
        <v>171</v>
      </c>
      <c r="S32" s="7">
        <v>242</v>
      </c>
      <c r="T32" s="7">
        <v>6</v>
      </c>
      <c r="U32" s="7">
        <v>23</v>
      </c>
      <c r="V32" s="7">
        <v>9</v>
      </c>
      <c r="W32" s="7">
        <v>9</v>
      </c>
      <c r="X32" s="7" t="s">
        <v>16</v>
      </c>
      <c r="Y32" s="7">
        <v>4</v>
      </c>
      <c r="Z32" s="7">
        <v>221</v>
      </c>
      <c r="AA32" s="7">
        <v>248</v>
      </c>
      <c r="AB32" s="7" t="s">
        <v>16</v>
      </c>
      <c r="AC32" s="7">
        <v>1</v>
      </c>
      <c r="AD32" s="7" t="s">
        <v>16</v>
      </c>
      <c r="AE32" s="7" t="s">
        <v>16</v>
      </c>
      <c r="AF32" s="37"/>
    </row>
    <row r="33" spans="1:32" ht="15" customHeight="1">
      <c r="A33" s="13">
        <v>28</v>
      </c>
      <c r="B33" s="24">
        <v>898</v>
      </c>
      <c r="C33" s="14">
        <v>131</v>
      </c>
      <c r="D33" s="34">
        <v>44</v>
      </c>
      <c r="E33" s="7">
        <v>27</v>
      </c>
      <c r="F33" s="34">
        <v>208</v>
      </c>
      <c r="G33" s="35">
        <f t="shared" si="0"/>
        <v>69.33333333333333</v>
      </c>
      <c r="H33" s="15">
        <v>15</v>
      </c>
      <c r="I33" s="7" t="s">
        <v>16</v>
      </c>
      <c r="J33" s="7">
        <v>2</v>
      </c>
      <c r="K33" s="17">
        <v>1</v>
      </c>
      <c r="L33" s="7">
        <v>52</v>
      </c>
      <c r="M33" s="7">
        <v>16</v>
      </c>
      <c r="N33" s="7">
        <v>18</v>
      </c>
      <c r="O33" s="7">
        <v>7</v>
      </c>
      <c r="P33" s="18" t="s">
        <v>16</v>
      </c>
      <c r="Q33" s="18" t="s">
        <v>16</v>
      </c>
      <c r="R33" s="17">
        <v>172</v>
      </c>
      <c r="S33" s="7">
        <v>339</v>
      </c>
      <c r="T33" s="7">
        <v>7</v>
      </c>
      <c r="U33" s="7">
        <v>20</v>
      </c>
      <c r="V33" s="7">
        <v>9</v>
      </c>
      <c r="W33" s="7">
        <v>4</v>
      </c>
      <c r="X33" s="7" t="s">
        <v>16</v>
      </c>
      <c r="Y33" s="7">
        <v>2</v>
      </c>
      <c r="Z33" s="7">
        <v>132</v>
      </c>
      <c r="AA33" s="7">
        <v>202</v>
      </c>
      <c r="AB33" s="7" t="s">
        <v>16</v>
      </c>
      <c r="AC33" s="7" t="s">
        <v>16</v>
      </c>
      <c r="AD33" s="7">
        <v>4</v>
      </c>
      <c r="AE33" s="7">
        <v>2</v>
      </c>
      <c r="AF33" s="37"/>
    </row>
    <row r="34" spans="1:32" ht="15" customHeight="1">
      <c r="A34" s="13">
        <v>29</v>
      </c>
      <c r="B34" s="22">
        <v>1087</v>
      </c>
      <c r="C34" s="2">
        <v>158</v>
      </c>
      <c r="D34" s="23">
        <v>25</v>
      </c>
      <c r="E34" s="1">
        <v>40</v>
      </c>
      <c r="F34" s="23">
        <v>193</v>
      </c>
      <c r="G34" s="35">
        <f t="shared" si="0"/>
        <v>64.33333333333333</v>
      </c>
      <c r="H34" s="11">
        <v>6</v>
      </c>
      <c r="I34" s="1">
        <v>10</v>
      </c>
      <c r="J34" s="1">
        <v>1</v>
      </c>
      <c r="K34" s="16" t="s">
        <v>16</v>
      </c>
      <c r="L34" s="1">
        <v>42</v>
      </c>
      <c r="M34" s="1">
        <v>4</v>
      </c>
      <c r="N34" s="1">
        <v>8</v>
      </c>
      <c r="O34" s="1">
        <v>15</v>
      </c>
      <c r="P34" s="18" t="s">
        <v>16</v>
      </c>
      <c r="Q34" s="18" t="s">
        <v>16</v>
      </c>
      <c r="R34" s="16">
        <v>123</v>
      </c>
      <c r="S34" s="1">
        <v>272</v>
      </c>
      <c r="T34" s="1">
        <v>2</v>
      </c>
      <c r="U34" s="1">
        <v>22</v>
      </c>
      <c r="V34" s="1">
        <v>4</v>
      </c>
      <c r="W34" s="1">
        <v>9</v>
      </c>
      <c r="X34" s="1" t="s">
        <v>16</v>
      </c>
      <c r="Y34" s="1">
        <v>3</v>
      </c>
      <c r="Z34" s="1">
        <v>93</v>
      </c>
      <c r="AA34" s="1">
        <v>202</v>
      </c>
      <c r="AB34" s="1" t="s">
        <v>16</v>
      </c>
      <c r="AC34" s="1" t="s">
        <v>16</v>
      </c>
      <c r="AD34" s="1" t="s">
        <v>16</v>
      </c>
      <c r="AE34" s="1" t="s">
        <v>16</v>
      </c>
      <c r="AF34" s="37"/>
    </row>
    <row r="35" spans="1:32" ht="15" customHeight="1">
      <c r="A35" s="10">
        <v>30</v>
      </c>
      <c r="B35" s="25">
        <v>0</v>
      </c>
      <c r="C35" s="26">
        <v>239</v>
      </c>
      <c r="D35" s="27">
        <v>7</v>
      </c>
      <c r="E35" s="6">
        <v>7</v>
      </c>
      <c r="F35" s="27">
        <v>193</v>
      </c>
      <c r="G35" s="28">
        <f t="shared" si="0"/>
        <v>64.33333333333333</v>
      </c>
      <c r="H35" s="29" t="s">
        <v>16</v>
      </c>
      <c r="I35" s="6" t="s">
        <v>16</v>
      </c>
      <c r="J35" s="6">
        <v>1</v>
      </c>
      <c r="K35" s="31" t="s">
        <v>16</v>
      </c>
      <c r="L35" s="6">
        <v>10</v>
      </c>
      <c r="M35" s="6">
        <v>4</v>
      </c>
      <c r="N35" s="6">
        <v>0</v>
      </c>
      <c r="O35" s="6">
        <v>0</v>
      </c>
      <c r="P35" s="30" t="s">
        <v>16</v>
      </c>
      <c r="Q35" s="30" t="s">
        <v>16</v>
      </c>
      <c r="R35" s="31" t="s">
        <v>16</v>
      </c>
      <c r="S35" s="6">
        <v>98</v>
      </c>
      <c r="T35" s="6">
        <v>0</v>
      </c>
      <c r="U35" s="6">
        <v>0</v>
      </c>
      <c r="V35" s="6">
        <v>0</v>
      </c>
      <c r="W35" s="6">
        <v>0</v>
      </c>
      <c r="X35" s="6" t="s">
        <v>16</v>
      </c>
      <c r="Y35" s="6" t="s">
        <v>16</v>
      </c>
      <c r="Z35" s="6" t="s">
        <v>16</v>
      </c>
      <c r="AA35" s="6">
        <v>35</v>
      </c>
      <c r="AB35" s="6" t="s">
        <v>16</v>
      </c>
      <c r="AC35" s="6" t="s">
        <v>16</v>
      </c>
      <c r="AD35" s="6" t="s">
        <v>16</v>
      </c>
      <c r="AE35" s="6" t="s">
        <v>16</v>
      </c>
      <c r="AF35" s="37"/>
    </row>
    <row r="36" spans="1:32" ht="15" customHeight="1">
      <c r="A36" s="13">
        <v>31</v>
      </c>
      <c r="B36" s="22">
        <v>1364</v>
      </c>
      <c r="C36" s="2">
        <v>152</v>
      </c>
      <c r="D36" s="23">
        <v>25</v>
      </c>
      <c r="E36" s="1">
        <v>34</v>
      </c>
      <c r="F36" s="23">
        <v>184</v>
      </c>
      <c r="G36" s="35">
        <f t="shared" si="0"/>
        <v>61.333333333333336</v>
      </c>
      <c r="H36" s="11">
        <v>8</v>
      </c>
      <c r="I36" s="1">
        <v>1</v>
      </c>
      <c r="J36" s="1">
        <v>2</v>
      </c>
      <c r="K36" s="16" t="s">
        <v>16</v>
      </c>
      <c r="L36" s="7">
        <v>72</v>
      </c>
      <c r="M36" s="7">
        <v>10</v>
      </c>
      <c r="N36" s="7">
        <v>11</v>
      </c>
      <c r="O36" s="7">
        <v>6</v>
      </c>
      <c r="P36" s="18" t="s">
        <v>16</v>
      </c>
      <c r="Q36" s="18" t="s">
        <v>16</v>
      </c>
      <c r="R36" s="17">
        <v>176</v>
      </c>
      <c r="S36" s="7">
        <v>214</v>
      </c>
      <c r="T36" s="7">
        <v>7</v>
      </c>
      <c r="U36" s="7">
        <v>16</v>
      </c>
      <c r="V36" s="7">
        <v>4</v>
      </c>
      <c r="W36" s="7">
        <v>2</v>
      </c>
      <c r="X36" s="7">
        <v>1</v>
      </c>
      <c r="Y36" s="7">
        <v>4</v>
      </c>
      <c r="Z36" s="7">
        <v>148</v>
      </c>
      <c r="AA36" s="7">
        <v>154</v>
      </c>
      <c r="AB36" s="7">
        <v>4</v>
      </c>
      <c r="AC36" s="7">
        <v>7</v>
      </c>
      <c r="AD36" s="7">
        <v>1</v>
      </c>
      <c r="AE36" s="7" t="s">
        <v>16</v>
      </c>
      <c r="AF36" s="37"/>
    </row>
    <row r="37" spans="1:32" ht="15" customHeight="1">
      <c r="A37" s="12" t="s">
        <v>22</v>
      </c>
      <c r="B37" s="1">
        <f aca="true" t="shared" si="1" ref="B37:G37">SUM(B6:B36)</f>
        <v>21655</v>
      </c>
      <c r="C37" s="1">
        <f t="shared" si="1"/>
        <v>4920</v>
      </c>
      <c r="D37" s="1">
        <f t="shared" si="1"/>
        <v>894</v>
      </c>
      <c r="E37" s="1">
        <f t="shared" si="1"/>
        <v>853</v>
      </c>
      <c r="F37" s="1">
        <f t="shared" si="1"/>
        <v>5850</v>
      </c>
      <c r="G37" s="41">
        <f t="shared" si="1"/>
        <v>1950</v>
      </c>
      <c r="H37" s="1">
        <f>SUM(H6:H36)</f>
        <v>149</v>
      </c>
      <c r="I37" s="1">
        <f>SUM(I6:I36)</f>
        <v>65</v>
      </c>
      <c r="J37" s="1">
        <f aca="true" t="shared" si="2" ref="J37:O37">SUM(J6:J36)</f>
        <v>46</v>
      </c>
      <c r="K37" s="1">
        <f t="shared" si="2"/>
        <v>20</v>
      </c>
      <c r="L37" s="1">
        <f t="shared" si="2"/>
        <v>1265</v>
      </c>
      <c r="M37" s="1">
        <f t="shared" si="2"/>
        <v>349</v>
      </c>
      <c r="N37" s="1">
        <f t="shared" si="2"/>
        <v>297</v>
      </c>
      <c r="O37" s="1">
        <f t="shared" si="2"/>
        <v>155</v>
      </c>
      <c r="P37" s="1">
        <v>0</v>
      </c>
      <c r="Q37" s="1">
        <v>2</v>
      </c>
      <c r="R37" s="1">
        <f>SUM(R6:R36)</f>
        <v>2513</v>
      </c>
      <c r="S37" s="1">
        <f>SUM(S6:S36)</f>
        <v>6958</v>
      </c>
      <c r="T37" s="1">
        <f aca="true" t="shared" si="3" ref="T37:AE37">SUM(T6:T36)</f>
        <v>136</v>
      </c>
      <c r="U37" s="1">
        <f t="shared" si="3"/>
        <v>435</v>
      </c>
      <c r="V37" s="1">
        <f t="shared" si="3"/>
        <v>126</v>
      </c>
      <c r="W37" s="1">
        <f t="shared" si="3"/>
        <v>140</v>
      </c>
      <c r="X37" s="1">
        <f t="shared" si="3"/>
        <v>3</v>
      </c>
      <c r="Y37" s="1">
        <f t="shared" si="3"/>
        <v>48</v>
      </c>
      <c r="Z37" s="1">
        <f t="shared" si="3"/>
        <v>2577</v>
      </c>
      <c r="AA37" s="1">
        <f t="shared" si="3"/>
        <v>4740</v>
      </c>
      <c r="AB37" s="1">
        <f t="shared" si="3"/>
        <v>19</v>
      </c>
      <c r="AC37" s="1">
        <f t="shared" si="3"/>
        <v>60</v>
      </c>
      <c r="AD37" s="1">
        <f t="shared" si="3"/>
        <v>36</v>
      </c>
      <c r="AE37" s="1">
        <f t="shared" si="3"/>
        <v>9</v>
      </c>
      <c r="AF37" s="37"/>
    </row>
    <row r="38" spans="1:32" s="36" customFormat="1" ht="24.75" customHeight="1">
      <c r="A38" s="5" t="s">
        <v>18</v>
      </c>
      <c r="B38" s="3">
        <f>+B37/23</f>
        <v>941.5217391304348</v>
      </c>
      <c r="C38" s="3">
        <f>+C37/31</f>
        <v>158.70967741935485</v>
      </c>
      <c r="D38" s="3">
        <f>+D37/31</f>
        <v>28.838709677419356</v>
      </c>
      <c r="E38" s="3">
        <f>+E37/31</f>
        <v>27.516129032258064</v>
      </c>
      <c r="F38" s="3">
        <f>+F37/31</f>
        <v>188.70967741935485</v>
      </c>
      <c r="G38" s="686">
        <f>+G37/31</f>
        <v>62.903225806451616</v>
      </c>
      <c r="H38" s="3">
        <f>+H37/23</f>
        <v>6.478260869565218</v>
      </c>
      <c r="I38" s="3">
        <f>+I37/23</f>
        <v>2.8260869565217392</v>
      </c>
      <c r="J38" s="3">
        <v>1.32</v>
      </c>
      <c r="K38" s="3">
        <f>+K37/31</f>
        <v>0.6451612903225806</v>
      </c>
      <c r="L38" s="3">
        <f>+L37/31</f>
        <v>40.806451612903224</v>
      </c>
      <c r="M38" s="3">
        <f>+M37/31</f>
        <v>11.258064516129032</v>
      </c>
      <c r="N38" s="3">
        <f>+N37/23</f>
        <v>12.91304347826087</v>
      </c>
      <c r="O38" s="3">
        <f>+O37/23</f>
        <v>6.739130434782608</v>
      </c>
      <c r="P38" s="3" t="s">
        <v>16</v>
      </c>
      <c r="Q38" s="3" t="s">
        <v>16</v>
      </c>
      <c r="R38" s="3">
        <f>+R37/23</f>
        <v>109.26086956521739</v>
      </c>
      <c r="S38" s="3">
        <f>+S37/31</f>
        <v>224.4516129032258</v>
      </c>
      <c r="T38" s="3">
        <f aca="true" t="shared" si="4" ref="T38:Z38">+T37/23</f>
        <v>5.913043478260869</v>
      </c>
      <c r="U38" s="3">
        <f t="shared" si="4"/>
        <v>18.91304347826087</v>
      </c>
      <c r="V38" s="3">
        <f t="shared" si="4"/>
        <v>5.478260869565218</v>
      </c>
      <c r="W38" s="3">
        <f t="shared" si="4"/>
        <v>6.086956521739131</v>
      </c>
      <c r="X38" s="3" t="s">
        <v>16</v>
      </c>
      <c r="Y38" s="3">
        <f t="shared" si="4"/>
        <v>2.0869565217391304</v>
      </c>
      <c r="Z38" s="3">
        <f t="shared" si="4"/>
        <v>112.04347826086956</v>
      </c>
      <c r="AA38" s="3">
        <f>+AA37/31</f>
        <v>152.90322580645162</v>
      </c>
      <c r="AB38" s="3">
        <f>+AB37/23</f>
        <v>0.8260869565217391</v>
      </c>
      <c r="AC38" s="3">
        <f>+AC37/23</f>
        <v>2.608695652173913</v>
      </c>
      <c r="AD38" s="3">
        <f>+AD37/23</f>
        <v>1.565217391304348</v>
      </c>
      <c r="AE38" s="3" t="s">
        <v>16</v>
      </c>
      <c r="AF38" s="38"/>
    </row>
    <row r="39" spans="1:32" ht="12.75">
      <c r="A39" s="39"/>
      <c r="B39" s="40"/>
      <c r="C39" s="40"/>
      <c r="D39" s="40"/>
      <c r="E39" s="40"/>
      <c r="F39" s="39"/>
      <c r="G39" s="37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7"/>
    </row>
    <row r="40" spans="1:32" ht="12.75">
      <c r="A40" s="39"/>
      <c r="B40" s="40"/>
      <c r="C40" s="40"/>
      <c r="D40" s="40"/>
      <c r="E40" s="40"/>
      <c r="F40" s="39"/>
      <c r="G40" s="37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7"/>
    </row>
    <row r="41" spans="1:32" ht="12.75">
      <c r="A41" s="39"/>
      <c r="B41" s="40"/>
      <c r="C41" s="40"/>
      <c r="D41" s="40"/>
      <c r="E41" s="40"/>
      <c r="F41" s="39"/>
      <c r="G41" s="37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7"/>
    </row>
    <row r="42" spans="1:32" ht="15.75">
      <c r="A42" s="39"/>
      <c r="B42" s="40"/>
      <c r="C42" s="40"/>
      <c r="D42" s="40"/>
      <c r="E42" s="40"/>
      <c r="F42" s="39"/>
      <c r="G42" s="37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3" t="s">
        <v>29</v>
      </c>
      <c r="Z42" s="39"/>
      <c r="AA42" s="39"/>
      <c r="AB42" s="39"/>
      <c r="AC42" s="39"/>
      <c r="AD42" s="39"/>
      <c r="AE42" s="39"/>
      <c r="AF42" s="37"/>
    </row>
    <row r="43" ht="12.75">
      <c r="G43" s="42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75" spans="4:7" ht="12.75">
      <c r="D75" s="21"/>
      <c r="G75" s="43"/>
    </row>
  </sheetData>
  <sheetProtection/>
  <mergeCells count="27">
    <mergeCell ref="A5:C5"/>
    <mergeCell ref="D5:G5"/>
    <mergeCell ref="H5:K5"/>
    <mergeCell ref="X4:Y4"/>
    <mergeCell ref="R4:S4"/>
    <mergeCell ref="T4:U4"/>
    <mergeCell ref="V4:W4"/>
    <mergeCell ref="Z4:AA4"/>
    <mergeCell ref="AB4:AC4"/>
    <mergeCell ref="AD4:AE4"/>
    <mergeCell ref="I3:I4"/>
    <mergeCell ref="K3:K4"/>
    <mergeCell ref="L3:Q3"/>
    <mergeCell ref="R3:AE3"/>
    <mergeCell ref="L4:M4"/>
    <mergeCell ref="N4:O4"/>
    <mergeCell ref="P4:Q4"/>
    <mergeCell ref="A1:AE1"/>
    <mergeCell ref="A2:AE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25" right="0.25" top="0" bottom="0" header="0" footer="0"/>
  <pageSetup horizontalDpi="600" verticalDpi="600" orientation="landscape" paperSize="5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AI85"/>
  <sheetViews>
    <sheetView view="pageBreakPreview" zoomScale="60" zoomScalePageLayoutView="0" workbookViewId="0" topLeftCell="A13">
      <selection activeCell="G38" sqref="G38"/>
    </sheetView>
  </sheetViews>
  <sheetFormatPr defaultColWidth="9.140625" defaultRowHeight="12.75"/>
  <cols>
    <col min="1" max="1" width="10.00390625" style="9" customWidth="1"/>
    <col min="2" max="2" width="11.00390625" style="362" customWidth="1"/>
    <col min="3" max="3" width="9.421875" style="362" customWidth="1"/>
    <col min="4" max="4" width="16.8515625" style="362" customWidth="1"/>
    <col min="5" max="5" width="9.140625" style="362" customWidth="1"/>
    <col min="6" max="6" width="8.7109375" style="9" customWidth="1"/>
    <col min="7" max="7" width="8.57421875" style="9" customWidth="1"/>
    <col min="8" max="8" width="7.28125" style="9" customWidth="1"/>
    <col min="9" max="9" width="7.7109375" style="9" customWidth="1"/>
    <col min="10" max="10" width="8.00390625" style="9" customWidth="1"/>
    <col min="11" max="11" width="6.7109375" style="9" customWidth="1"/>
    <col min="12" max="12" width="8.57421875" style="9" customWidth="1"/>
    <col min="13" max="13" width="6.8515625" style="9" customWidth="1"/>
    <col min="14" max="14" width="7.57421875" style="9" customWidth="1"/>
    <col min="15" max="15" width="7.7109375" style="9" customWidth="1"/>
    <col min="16" max="16" width="6.140625" style="9" customWidth="1"/>
    <col min="17" max="17" width="5.8515625" style="9" customWidth="1"/>
    <col min="18" max="18" width="9.421875" style="9" customWidth="1"/>
    <col min="19" max="19" width="9.28125" style="9" bestFit="1" customWidth="1"/>
    <col min="20" max="20" width="7.7109375" style="9" customWidth="1"/>
    <col min="21" max="21" width="6.7109375" style="9" customWidth="1"/>
    <col min="22" max="22" width="7.00390625" style="9" customWidth="1"/>
    <col min="23" max="23" width="6.7109375" style="9" customWidth="1"/>
    <col min="24" max="24" width="4.7109375" style="9" customWidth="1"/>
    <col min="25" max="25" width="6.28125" style="9" customWidth="1"/>
    <col min="26" max="26" width="9.8515625" style="9" customWidth="1"/>
    <col min="27" max="27" width="9.140625" style="9" customWidth="1"/>
    <col min="28" max="28" width="7.140625" style="9" bestFit="1" customWidth="1"/>
    <col min="29" max="29" width="6.00390625" style="9" customWidth="1"/>
    <col min="30" max="30" width="5.28125" style="9" customWidth="1"/>
    <col min="31" max="31" width="6.28125" style="9" customWidth="1"/>
    <col min="32" max="16384" width="9.140625" style="9" customWidth="1"/>
  </cols>
  <sheetData>
    <row r="1" spans="1:31" ht="12" customHeight="1">
      <c r="A1" s="636" t="s">
        <v>50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</row>
    <row r="2" spans="1:32" ht="17.25" customHeight="1" thickBot="1">
      <c r="A2" s="637" t="s">
        <v>90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37"/>
    </row>
    <row r="3" spans="1:34" ht="12" customHeight="1" thickBot="1" thickTop="1">
      <c r="A3" s="638" t="s">
        <v>23</v>
      </c>
      <c r="B3" s="640" t="s">
        <v>0</v>
      </c>
      <c r="C3" s="642" t="s">
        <v>56</v>
      </c>
      <c r="D3" s="644" t="s">
        <v>124</v>
      </c>
      <c r="E3" s="646" t="s">
        <v>21</v>
      </c>
      <c r="F3" s="670" t="s">
        <v>19</v>
      </c>
      <c r="G3" s="613" t="s">
        <v>2</v>
      </c>
      <c r="H3" s="672" t="s">
        <v>3</v>
      </c>
      <c r="I3" s="666" t="s">
        <v>4</v>
      </c>
      <c r="J3" s="668" t="s">
        <v>26</v>
      </c>
      <c r="K3" s="674" t="s">
        <v>5</v>
      </c>
      <c r="L3" s="648" t="s">
        <v>17</v>
      </c>
      <c r="M3" s="649"/>
      <c r="N3" s="649"/>
      <c r="O3" s="649"/>
      <c r="P3" s="649"/>
      <c r="Q3" s="650"/>
      <c r="R3" s="628" t="s">
        <v>91</v>
      </c>
      <c r="S3" s="629"/>
      <c r="T3" s="656" t="s">
        <v>83</v>
      </c>
      <c r="U3" s="657"/>
      <c r="V3" s="657"/>
      <c r="W3" s="657"/>
      <c r="X3" s="657"/>
      <c r="Y3" s="658"/>
      <c r="Z3" s="656" t="s">
        <v>82</v>
      </c>
      <c r="AA3" s="657"/>
      <c r="AB3" s="657"/>
      <c r="AC3" s="657"/>
      <c r="AD3" s="657"/>
      <c r="AE3" s="658"/>
      <c r="AF3" s="123"/>
      <c r="AG3" s="76"/>
      <c r="AH3" s="76"/>
    </row>
    <row r="4" spans="1:34" ht="92.25" customHeight="1" thickBot="1" thickTop="1">
      <c r="A4" s="639"/>
      <c r="B4" s="641"/>
      <c r="C4" s="643"/>
      <c r="D4" s="645"/>
      <c r="E4" s="647"/>
      <c r="F4" s="671"/>
      <c r="G4" s="614"/>
      <c r="H4" s="673"/>
      <c r="I4" s="667"/>
      <c r="J4" s="669"/>
      <c r="K4" s="675"/>
      <c r="L4" s="651" t="s">
        <v>6</v>
      </c>
      <c r="M4" s="652"/>
      <c r="N4" s="651" t="s">
        <v>15</v>
      </c>
      <c r="O4" s="652"/>
      <c r="P4" s="651" t="s">
        <v>7</v>
      </c>
      <c r="Q4" s="653"/>
      <c r="R4" s="654" t="s">
        <v>25</v>
      </c>
      <c r="S4" s="655"/>
      <c r="T4" s="632" t="s">
        <v>34</v>
      </c>
      <c r="U4" s="631"/>
      <c r="V4" s="632" t="s">
        <v>9</v>
      </c>
      <c r="W4" s="631"/>
      <c r="X4" s="630" t="s">
        <v>10</v>
      </c>
      <c r="Y4" s="631"/>
      <c r="Z4" s="630" t="s">
        <v>11</v>
      </c>
      <c r="AA4" s="631"/>
      <c r="AB4" s="630" t="s">
        <v>24</v>
      </c>
      <c r="AC4" s="631"/>
      <c r="AD4" s="632" t="s">
        <v>12</v>
      </c>
      <c r="AE4" s="631"/>
      <c r="AF4" s="123"/>
      <c r="AG4" s="76"/>
      <c r="AH4" s="76"/>
    </row>
    <row r="5" spans="1:33" ht="16.5" customHeight="1" thickBot="1" thickTop="1">
      <c r="A5" s="633"/>
      <c r="B5" s="634"/>
      <c r="C5" s="635"/>
      <c r="D5" s="663" t="s">
        <v>89</v>
      </c>
      <c r="E5" s="664"/>
      <c r="F5" s="664"/>
      <c r="G5" s="665"/>
      <c r="H5" s="634"/>
      <c r="I5" s="634"/>
      <c r="J5" s="634"/>
      <c r="K5" s="635"/>
      <c r="L5" s="346" t="s">
        <v>13</v>
      </c>
      <c r="M5" s="350" t="s">
        <v>14</v>
      </c>
      <c r="N5" s="346" t="s">
        <v>13</v>
      </c>
      <c r="O5" s="347" t="s">
        <v>14</v>
      </c>
      <c r="P5" s="348" t="s">
        <v>13</v>
      </c>
      <c r="Q5" s="350" t="s">
        <v>14</v>
      </c>
      <c r="R5" s="369" t="s">
        <v>13</v>
      </c>
      <c r="S5" s="349" t="s">
        <v>14</v>
      </c>
      <c r="T5" s="348" t="s">
        <v>13</v>
      </c>
      <c r="U5" s="350" t="s">
        <v>14</v>
      </c>
      <c r="V5" s="364" t="s">
        <v>13</v>
      </c>
      <c r="W5" s="349" t="s">
        <v>14</v>
      </c>
      <c r="X5" s="348" t="s">
        <v>13</v>
      </c>
      <c r="Y5" s="347" t="s">
        <v>14</v>
      </c>
      <c r="Z5" s="348" t="s">
        <v>13</v>
      </c>
      <c r="AA5" s="347" t="s">
        <v>14</v>
      </c>
      <c r="AB5" s="346" t="s">
        <v>13</v>
      </c>
      <c r="AC5" s="347" t="s">
        <v>14</v>
      </c>
      <c r="AD5" s="348" t="s">
        <v>13</v>
      </c>
      <c r="AE5" s="347" t="s">
        <v>14</v>
      </c>
      <c r="AF5" s="37"/>
      <c r="AG5" s="76"/>
    </row>
    <row r="6" spans="1:32" ht="19.5" customHeight="1" thickBot="1" thickTop="1">
      <c r="A6" s="194">
        <v>1</v>
      </c>
      <c r="B6" s="191">
        <v>1011</v>
      </c>
      <c r="C6" s="183">
        <v>158</v>
      </c>
      <c r="D6" s="180" t="s">
        <v>93</v>
      </c>
      <c r="E6" s="130">
        <v>38</v>
      </c>
      <c r="F6" s="327">
        <v>296</v>
      </c>
      <c r="G6" s="324">
        <f>+F6/4.25</f>
        <v>69.6470588235294</v>
      </c>
      <c r="H6" s="131">
        <v>10</v>
      </c>
      <c r="I6" s="130">
        <v>29</v>
      </c>
      <c r="J6" s="130">
        <v>5</v>
      </c>
      <c r="K6" s="132">
        <v>2</v>
      </c>
      <c r="L6" s="131">
        <v>47</v>
      </c>
      <c r="M6" s="275">
        <v>15</v>
      </c>
      <c r="N6" s="271">
        <v>18</v>
      </c>
      <c r="O6" s="136">
        <v>6</v>
      </c>
      <c r="P6" s="262" t="s">
        <v>16</v>
      </c>
      <c r="Q6" s="254" t="s">
        <v>16</v>
      </c>
      <c r="R6" s="382">
        <v>121</v>
      </c>
      <c r="S6" s="269">
        <v>347</v>
      </c>
      <c r="T6" s="131">
        <v>6</v>
      </c>
      <c r="U6" s="275">
        <v>10</v>
      </c>
      <c r="V6" s="370">
        <v>5</v>
      </c>
      <c r="W6" s="269">
        <v>8</v>
      </c>
      <c r="X6" s="389" t="s">
        <v>16</v>
      </c>
      <c r="Y6" s="183">
        <v>2</v>
      </c>
      <c r="Z6" s="370">
        <v>182</v>
      </c>
      <c r="AA6" s="374">
        <v>244</v>
      </c>
      <c r="AB6" s="370" t="s">
        <v>16</v>
      </c>
      <c r="AC6" s="183" t="s">
        <v>16</v>
      </c>
      <c r="AD6" s="370">
        <v>6</v>
      </c>
      <c r="AE6" s="136">
        <v>1</v>
      </c>
      <c r="AF6" s="37"/>
    </row>
    <row r="7" spans="1:32" ht="19.5" customHeight="1" thickBot="1" thickTop="1">
      <c r="A7" s="280">
        <v>2</v>
      </c>
      <c r="B7" s="281" t="s">
        <v>16</v>
      </c>
      <c r="C7" s="282">
        <v>194</v>
      </c>
      <c r="D7" s="283" t="s">
        <v>94</v>
      </c>
      <c r="E7" s="284">
        <v>15</v>
      </c>
      <c r="F7" s="329">
        <v>285</v>
      </c>
      <c r="G7" s="325">
        <f aca="true" t="shared" si="0" ref="G7:G36">+F7/4.25</f>
        <v>67.05882352941177</v>
      </c>
      <c r="H7" s="285" t="s">
        <v>16</v>
      </c>
      <c r="I7" s="284" t="s">
        <v>16</v>
      </c>
      <c r="J7" s="284">
        <v>1</v>
      </c>
      <c r="K7" s="286" t="s">
        <v>16</v>
      </c>
      <c r="L7" s="285">
        <v>1</v>
      </c>
      <c r="M7" s="291">
        <v>3</v>
      </c>
      <c r="N7" s="292" t="s">
        <v>16</v>
      </c>
      <c r="O7" s="282" t="s">
        <v>16</v>
      </c>
      <c r="P7" s="378" t="s">
        <v>16</v>
      </c>
      <c r="Q7" s="365" t="s">
        <v>16</v>
      </c>
      <c r="R7" s="292" t="s">
        <v>16</v>
      </c>
      <c r="S7" s="379">
        <v>65</v>
      </c>
      <c r="T7" s="285" t="s">
        <v>16</v>
      </c>
      <c r="U7" s="286" t="s">
        <v>16</v>
      </c>
      <c r="V7" s="292" t="s">
        <v>16</v>
      </c>
      <c r="W7" s="379" t="s">
        <v>16</v>
      </c>
      <c r="X7" s="285" t="s">
        <v>16</v>
      </c>
      <c r="Y7" s="282" t="s">
        <v>16</v>
      </c>
      <c r="Z7" s="378" t="s">
        <v>16</v>
      </c>
      <c r="AA7" s="365">
        <v>10</v>
      </c>
      <c r="AB7" s="292" t="s">
        <v>16</v>
      </c>
      <c r="AC7" s="282" t="s">
        <v>16</v>
      </c>
      <c r="AD7" s="292">
        <v>1</v>
      </c>
      <c r="AE7" s="286" t="s">
        <v>16</v>
      </c>
      <c r="AF7" s="37"/>
    </row>
    <row r="8" spans="1:33" ht="19.5" customHeight="1" thickBot="1" thickTop="1">
      <c r="A8" s="195">
        <v>3</v>
      </c>
      <c r="B8" s="192">
        <v>1308</v>
      </c>
      <c r="C8" s="144">
        <v>141</v>
      </c>
      <c r="D8" s="181" t="s">
        <v>95</v>
      </c>
      <c r="E8" s="138">
        <v>55</v>
      </c>
      <c r="F8" s="328">
        <v>255</v>
      </c>
      <c r="G8" s="324">
        <f t="shared" si="0"/>
        <v>60</v>
      </c>
      <c r="H8" s="139">
        <v>5</v>
      </c>
      <c r="I8" s="138">
        <v>31</v>
      </c>
      <c r="J8" s="138">
        <v>3</v>
      </c>
      <c r="K8" s="140">
        <v>1</v>
      </c>
      <c r="L8" s="139">
        <v>76</v>
      </c>
      <c r="M8" s="276">
        <v>13</v>
      </c>
      <c r="N8" s="273">
        <v>18</v>
      </c>
      <c r="O8" s="144">
        <v>9</v>
      </c>
      <c r="P8" s="278" t="s">
        <v>16</v>
      </c>
      <c r="Q8" s="367" t="s">
        <v>16</v>
      </c>
      <c r="R8" s="383">
        <v>312</v>
      </c>
      <c r="S8" s="225">
        <v>275</v>
      </c>
      <c r="T8" s="139">
        <v>9</v>
      </c>
      <c r="U8" s="276">
        <v>11</v>
      </c>
      <c r="V8" s="273">
        <v>21</v>
      </c>
      <c r="W8" s="225">
        <v>7</v>
      </c>
      <c r="X8" s="278" t="s">
        <v>16</v>
      </c>
      <c r="Y8" s="278" t="s">
        <v>16</v>
      </c>
      <c r="Z8" s="273">
        <v>375</v>
      </c>
      <c r="AA8" s="375">
        <v>194</v>
      </c>
      <c r="AB8" s="271">
        <v>3</v>
      </c>
      <c r="AC8" s="136">
        <v>8</v>
      </c>
      <c r="AD8" s="271">
        <v>3</v>
      </c>
      <c r="AE8" s="136" t="s">
        <v>16</v>
      </c>
      <c r="AF8" s="76"/>
      <c r="AG8" s="37"/>
    </row>
    <row r="9" spans="1:33" ht="19.5" customHeight="1" thickBot="1" thickTop="1">
      <c r="A9" s="195">
        <v>4</v>
      </c>
      <c r="B9" s="192">
        <v>1091</v>
      </c>
      <c r="C9" s="144">
        <v>164</v>
      </c>
      <c r="D9" s="181" t="s">
        <v>96</v>
      </c>
      <c r="E9" s="138">
        <v>41</v>
      </c>
      <c r="F9" s="328">
        <v>262</v>
      </c>
      <c r="G9" s="324">
        <f t="shared" si="0"/>
        <v>61.64705882352941</v>
      </c>
      <c r="H9" s="139">
        <v>4</v>
      </c>
      <c r="I9" s="138">
        <v>27</v>
      </c>
      <c r="J9" s="138">
        <v>2</v>
      </c>
      <c r="K9" s="140" t="s">
        <v>16</v>
      </c>
      <c r="L9" s="139">
        <v>65</v>
      </c>
      <c r="M9" s="276">
        <v>7</v>
      </c>
      <c r="N9" s="273">
        <v>19</v>
      </c>
      <c r="O9" s="144">
        <v>6</v>
      </c>
      <c r="P9" s="278" t="s">
        <v>16</v>
      </c>
      <c r="Q9" s="388">
        <v>1</v>
      </c>
      <c r="R9" s="383">
        <v>184</v>
      </c>
      <c r="S9" s="225">
        <v>228</v>
      </c>
      <c r="T9" s="139">
        <v>3</v>
      </c>
      <c r="U9" s="276">
        <v>9</v>
      </c>
      <c r="V9" s="273">
        <v>9</v>
      </c>
      <c r="W9" s="225">
        <v>8</v>
      </c>
      <c r="X9" s="278" t="s">
        <v>16</v>
      </c>
      <c r="Y9" s="135">
        <v>1</v>
      </c>
      <c r="Z9" s="273">
        <v>321</v>
      </c>
      <c r="AA9" s="375">
        <v>240</v>
      </c>
      <c r="AB9" s="271">
        <v>2</v>
      </c>
      <c r="AC9" s="136">
        <v>3</v>
      </c>
      <c r="AD9" s="271">
        <v>1</v>
      </c>
      <c r="AE9" s="136" t="s">
        <v>16</v>
      </c>
      <c r="AG9" s="37"/>
    </row>
    <row r="10" spans="1:33" ht="19.5" customHeight="1" thickBot="1" thickTop="1">
      <c r="A10" s="195">
        <v>5</v>
      </c>
      <c r="B10" s="192">
        <v>243</v>
      </c>
      <c r="C10" s="144">
        <v>165</v>
      </c>
      <c r="D10" s="181" t="s">
        <v>97</v>
      </c>
      <c r="E10" s="138">
        <v>14</v>
      </c>
      <c r="F10" s="328">
        <v>262</v>
      </c>
      <c r="G10" s="324">
        <f t="shared" si="0"/>
        <v>61.64705882352941</v>
      </c>
      <c r="H10" s="139" t="s">
        <v>16</v>
      </c>
      <c r="I10" s="138">
        <v>8</v>
      </c>
      <c r="J10" s="138">
        <v>4</v>
      </c>
      <c r="K10" s="140" t="s">
        <v>16</v>
      </c>
      <c r="L10" s="139">
        <v>15</v>
      </c>
      <c r="M10" s="276">
        <v>1</v>
      </c>
      <c r="N10" s="273" t="s">
        <v>16</v>
      </c>
      <c r="O10" s="144" t="s">
        <v>16</v>
      </c>
      <c r="P10" s="278" t="s">
        <v>16</v>
      </c>
      <c r="Q10" s="367"/>
      <c r="R10" s="383">
        <v>11</v>
      </c>
      <c r="S10" s="225">
        <v>82</v>
      </c>
      <c r="T10" s="139" t="s">
        <v>16</v>
      </c>
      <c r="U10" s="276">
        <v>1</v>
      </c>
      <c r="V10" s="273">
        <v>1</v>
      </c>
      <c r="W10" s="225">
        <v>2</v>
      </c>
      <c r="X10" s="278" t="s">
        <v>16</v>
      </c>
      <c r="Y10" s="278" t="s">
        <v>16</v>
      </c>
      <c r="Z10" s="273">
        <v>16</v>
      </c>
      <c r="AA10" s="375">
        <v>42</v>
      </c>
      <c r="AB10" s="271" t="s">
        <v>16</v>
      </c>
      <c r="AC10" s="136" t="s">
        <v>16</v>
      </c>
      <c r="AD10" s="271">
        <v>1</v>
      </c>
      <c r="AE10" s="136">
        <v>1</v>
      </c>
      <c r="AG10" s="37"/>
    </row>
    <row r="11" spans="1:33" ht="19.5" customHeight="1" thickBot="1" thickTop="1">
      <c r="A11" s="195">
        <v>6</v>
      </c>
      <c r="B11" s="192">
        <v>1045</v>
      </c>
      <c r="C11" s="144">
        <v>150</v>
      </c>
      <c r="D11" s="181" t="s">
        <v>98</v>
      </c>
      <c r="E11" s="138">
        <v>24</v>
      </c>
      <c r="F11" s="328">
        <v>278</v>
      </c>
      <c r="G11" s="324">
        <f t="shared" si="0"/>
        <v>65.41176470588235</v>
      </c>
      <c r="H11" s="139">
        <v>9</v>
      </c>
      <c r="I11" s="138">
        <v>33</v>
      </c>
      <c r="J11" s="138">
        <v>1</v>
      </c>
      <c r="K11" s="140" t="s">
        <v>16</v>
      </c>
      <c r="L11" s="139">
        <v>63</v>
      </c>
      <c r="M11" s="276">
        <v>12</v>
      </c>
      <c r="N11" s="273">
        <v>14</v>
      </c>
      <c r="O11" s="144">
        <v>10</v>
      </c>
      <c r="P11" s="278" t="s">
        <v>16</v>
      </c>
      <c r="Q11" s="367"/>
      <c r="R11" s="383">
        <v>93</v>
      </c>
      <c r="S11" s="225">
        <v>287</v>
      </c>
      <c r="T11" s="139">
        <v>9</v>
      </c>
      <c r="U11" s="276">
        <v>16</v>
      </c>
      <c r="V11" s="273">
        <v>18</v>
      </c>
      <c r="W11" s="225">
        <v>14</v>
      </c>
      <c r="X11" s="135">
        <v>1</v>
      </c>
      <c r="Y11" s="135">
        <v>4</v>
      </c>
      <c r="Z11" s="273">
        <v>178</v>
      </c>
      <c r="AA11" s="375">
        <v>582</v>
      </c>
      <c r="AB11" s="271">
        <v>1</v>
      </c>
      <c r="AC11" s="136">
        <v>6</v>
      </c>
      <c r="AD11" s="271">
        <v>1</v>
      </c>
      <c r="AE11" s="144" t="s">
        <v>16</v>
      </c>
      <c r="AG11" s="37"/>
    </row>
    <row r="12" spans="1:33" ht="19.5" customHeight="1" thickBot="1" thickTop="1">
      <c r="A12" s="195">
        <v>7</v>
      </c>
      <c r="B12" s="192">
        <v>1105</v>
      </c>
      <c r="C12" s="144">
        <v>143</v>
      </c>
      <c r="D12" s="181" t="s">
        <v>99</v>
      </c>
      <c r="E12" s="138">
        <v>24</v>
      </c>
      <c r="F12" s="328">
        <v>315</v>
      </c>
      <c r="G12" s="324">
        <f t="shared" si="0"/>
        <v>74.11764705882354</v>
      </c>
      <c r="H12" s="139">
        <v>7</v>
      </c>
      <c r="I12" s="138">
        <v>33</v>
      </c>
      <c r="J12" s="138">
        <v>2</v>
      </c>
      <c r="K12" s="140">
        <v>1</v>
      </c>
      <c r="L12" s="151">
        <v>65</v>
      </c>
      <c r="M12" s="366">
        <v>23</v>
      </c>
      <c r="N12" s="273">
        <v>17</v>
      </c>
      <c r="O12" s="144">
        <v>10</v>
      </c>
      <c r="P12" s="278" t="s">
        <v>16</v>
      </c>
      <c r="Q12" s="367"/>
      <c r="R12" s="273">
        <v>150</v>
      </c>
      <c r="S12" s="225">
        <v>487</v>
      </c>
      <c r="T12" s="139">
        <v>6</v>
      </c>
      <c r="U12" s="276">
        <v>27</v>
      </c>
      <c r="V12" s="273">
        <v>10</v>
      </c>
      <c r="W12" s="225">
        <v>9</v>
      </c>
      <c r="X12" s="135">
        <v>1</v>
      </c>
      <c r="Y12" s="135">
        <v>4</v>
      </c>
      <c r="Z12" s="273">
        <v>263</v>
      </c>
      <c r="AA12" s="375">
        <v>505</v>
      </c>
      <c r="AB12" s="271">
        <v>1</v>
      </c>
      <c r="AC12" s="136">
        <v>4</v>
      </c>
      <c r="AD12" s="271">
        <v>2</v>
      </c>
      <c r="AE12" s="136" t="s">
        <v>16</v>
      </c>
      <c r="AG12" s="37"/>
    </row>
    <row r="13" spans="1:33" ht="19.5" customHeight="1" thickBot="1" thickTop="1">
      <c r="A13" s="195">
        <v>8</v>
      </c>
      <c r="B13" s="192">
        <v>943</v>
      </c>
      <c r="C13" s="144">
        <v>221</v>
      </c>
      <c r="D13" s="181" t="s">
        <v>100</v>
      </c>
      <c r="E13" s="138">
        <v>27</v>
      </c>
      <c r="F13" s="328">
        <v>322</v>
      </c>
      <c r="G13" s="324">
        <f t="shared" si="0"/>
        <v>75.76470588235294</v>
      </c>
      <c r="H13" s="139">
        <v>7</v>
      </c>
      <c r="I13" s="138">
        <v>31</v>
      </c>
      <c r="J13" s="138">
        <v>2</v>
      </c>
      <c r="K13" s="140">
        <v>1</v>
      </c>
      <c r="L13" s="139">
        <v>56</v>
      </c>
      <c r="M13" s="276">
        <v>21</v>
      </c>
      <c r="N13" s="273">
        <v>17</v>
      </c>
      <c r="O13" s="144">
        <v>6</v>
      </c>
      <c r="P13" s="278" t="s">
        <v>16</v>
      </c>
      <c r="Q13" s="367"/>
      <c r="R13" s="383">
        <v>130</v>
      </c>
      <c r="S13" s="225">
        <v>365</v>
      </c>
      <c r="T13" s="139">
        <v>4</v>
      </c>
      <c r="U13" s="276">
        <v>13</v>
      </c>
      <c r="V13" s="273" t="s">
        <v>16</v>
      </c>
      <c r="W13" s="225" t="s">
        <v>16</v>
      </c>
      <c r="X13" s="278" t="s">
        <v>16</v>
      </c>
      <c r="Y13" s="135">
        <v>3</v>
      </c>
      <c r="Z13" s="273">
        <v>202</v>
      </c>
      <c r="AA13" s="375">
        <v>305</v>
      </c>
      <c r="AB13" s="271" t="s">
        <v>16</v>
      </c>
      <c r="AC13" s="136" t="s">
        <v>16</v>
      </c>
      <c r="AD13" s="271">
        <v>2</v>
      </c>
      <c r="AE13" s="136">
        <v>1</v>
      </c>
      <c r="AG13" s="37"/>
    </row>
    <row r="14" spans="1:33" ht="19.5" customHeight="1" thickBot="1" thickTop="1">
      <c r="A14" s="280">
        <v>9</v>
      </c>
      <c r="B14" s="281" t="s">
        <v>16</v>
      </c>
      <c r="C14" s="282">
        <v>209</v>
      </c>
      <c r="D14" s="283" t="s">
        <v>101</v>
      </c>
      <c r="E14" s="284">
        <v>6</v>
      </c>
      <c r="F14" s="329">
        <v>323</v>
      </c>
      <c r="G14" s="325">
        <f t="shared" si="0"/>
        <v>76</v>
      </c>
      <c r="H14" s="285" t="s">
        <v>16</v>
      </c>
      <c r="I14" s="284" t="s">
        <v>16</v>
      </c>
      <c r="J14" s="284">
        <v>3</v>
      </c>
      <c r="K14" s="286" t="s">
        <v>16</v>
      </c>
      <c r="L14" s="285">
        <v>5</v>
      </c>
      <c r="M14" s="291">
        <v>3</v>
      </c>
      <c r="N14" s="292" t="s">
        <v>16</v>
      </c>
      <c r="O14" s="282" t="s">
        <v>16</v>
      </c>
      <c r="P14" s="387" t="s">
        <v>16</v>
      </c>
      <c r="Q14" s="282" t="s">
        <v>16</v>
      </c>
      <c r="R14" s="292" t="s">
        <v>16</v>
      </c>
      <c r="S14" s="379">
        <v>39</v>
      </c>
      <c r="T14" s="285" t="s">
        <v>16</v>
      </c>
      <c r="U14" s="286" t="s">
        <v>16</v>
      </c>
      <c r="V14" s="292" t="s">
        <v>16</v>
      </c>
      <c r="W14" s="379" t="s">
        <v>16</v>
      </c>
      <c r="X14" s="285" t="s">
        <v>16</v>
      </c>
      <c r="Y14" s="282" t="s">
        <v>16</v>
      </c>
      <c r="Z14" s="378" t="s">
        <v>16</v>
      </c>
      <c r="AA14" s="365">
        <v>40</v>
      </c>
      <c r="AB14" s="292" t="s">
        <v>16</v>
      </c>
      <c r="AC14" s="282" t="s">
        <v>16</v>
      </c>
      <c r="AD14" s="292" t="s">
        <v>16</v>
      </c>
      <c r="AE14" s="286" t="s">
        <v>16</v>
      </c>
      <c r="AG14" s="37"/>
    </row>
    <row r="15" spans="1:33" ht="19.5" customHeight="1" thickBot="1" thickTop="1">
      <c r="A15" s="195">
        <v>10</v>
      </c>
      <c r="B15" s="192">
        <v>1432</v>
      </c>
      <c r="C15" s="144">
        <v>154</v>
      </c>
      <c r="D15" s="181" t="s">
        <v>102</v>
      </c>
      <c r="E15" s="138">
        <v>54</v>
      </c>
      <c r="F15" s="328">
        <v>313</v>
      </c>
      <c r="G15" s="324">
        <f t="shared" si="0"/>
        <v>73.6470588235294</v>
      </c>
      <c r="H15" s="139">
        <v>10</v>
      </c>
      <c r="I15" s="138">
        <v>36</v>
      </c>
      <c r="J15" s="138">
        <v>3</v>
      </c>
      <c r="K15" s="140">
        <v>4</v>
      </c>
      <c r="L15" s="139">
        <v>80</v>
      </c>
      <c r="M15" s="276">
        <v>13</v>
      </c>
      <c r="N15" s="273">
        <v>21</v>
      </c>
      <c r="O15" s="144">
        <v>8</v>
      </c>
      <c r="P15" s="278" t="s">
        <v>16</v>
      </c>
      <c r="Q15" s="367" t="s">
        <v>16</v>
      </c>
      <c r="R15" s="383">
        <v>198</v>
      </c>
      <c r="S15" s="225">
        <v>257</v>
      </c>
      <c r="T15" s="139">
        <v>4</v>
      </c>
      <c r="U15" s="276">
        <v>7</v>
      </c>
      <c r="V15" s="273">
        <v>10</v>
      </c>
      <c r="W15" s="225">
        <v>3</v>
      </c>
      <c r="X15" s="278" t="s">
        <v>16</v>
      </c>
      <c r="Y15" s="135">
        <v>1</v>
      </c>
      <c r="Z15" s="273">
        <v>492</v>
      </c>
      <c r="AA15" s="375">
        <v>200</v>
      </c>
      <c r="AB15" s="271">
        <v>2</v>
      </c>
      <c r="AC15" s="136">
        <v>7</v>
      </c>
      <c r="AD15" s="271">
        <v>2</v>
      </c>
      <c r="AE15" s="136" t="s">
        <v>16</v>
      </c>
      <c r="AG15" s="37"/>
    </row>
    <row r="16" spans="1:33" ht="19.5" customHeight="1" thickBot="1" thickTop="1">
      <c r="A16" s="195">
        <v>11</v>
      </c>
      <c r="B16" s="192">
        <v>1221</v>
      </c>
      <c r="C16" s="144">
        <v>131</v>
      </c>
      <c r="D16" s="181" t="s">
        <v>103</v>
      </c>
      <c r="E16" s="138">
        <v>27</v>
      </c>
      <c r="F16" s="328">
        <v>334</v>
      </c>
      <c r="G16" s="324">
        <f t="shared" si="0"/>
        <v>78.58823529411765</v>
      </c>
      <c r="H16" s="139">
        <v>6</v>
      </c>
      <c r="I16" s="138">
        <v>36</v>
      </c>
      <c r="J16" s="138">
        <v>3</v>
      </c>
      <c r="K16" s="140">
        <v>1</v>
      </c>
      <c r="L16" s="139">
        <v>68</v>
      </c>
      <c r="M16" s="276">
        <v>16</v>
      </c>
      <c r="N16" s="273">
        <v>21</v>
      </c>
      <c r="O16" s="144">
        <v>5</v>
      </c>
      <c r="P16" s="278" t="s">
        <v>16</v>
      </c>
      <c r="Q16" s="367" t="s">
        <v>16</v>
      </c>
      <c r="R16" s="383">
        <v>182</v>
      </c>
      <c r="S16" s="225">
        <v>542</v>
      </c>
      <c r="T16" s="139">
        <v>10</v>
      </c>
      <c r="U16" s="276">
        <v>14</v>
      </c>
      <c r="V16" s="273">
        <v>15</v>
      </c>
      <c r="W16" s="225">
        <v>8</v>
      </c>
      <c r="X16" s="278" t="s">
        <v>16</v>
      </c>
      <c r="Y16" s="278" t="s">
        <v>16</v>
      </c>
      <c r="Z16" s="273">
        <v>420</v>
      </c>
      <c r="AA16" s="375">
        <v>334</v>
      </c>
      <c r="AB16" s="271">
        <v>1</v>
      </c>
      <c r="AC16" s="136">
        <v>4</v>
      </c>
      <c r="AD16" s="271">
        <v>3</v>
      </c>
      <c r="AE16" s="136">
        <v>1</v>
      </c>
      <c r="AG16" s="37"/>
    </row>
    <row r="17" spans="1:33" ht="19.5" customHeight="1" thickBot="1" thickTop="1">
      <c r="A17" s="195">
        <v>12</v>
      </c>
      <c r="B17" s="192">
        <v>1104</v>
      </c>
      <c r="C17" s="144">
        <v>144</v>
      </c>
      <c r="D17" s="181" t="s">
        <v>104</v>
      </c>
      <c r="E17" s="138">
        <v>35</v>
      </c>
      <c r="F17" s="328">
        <v>331</v>
      </c>
      <c r="G17" s="324">
        <f t="shared" si="0"/>
        <v>77.88235294117646</v>
      </c>
      <c r="H17" s="139">
        <v>12</v>
      </c>
      <c r="I17" s="138">
        <v>37</v>
      </c>
      <c r="J17" s="138">
        <v>3</v>
      </c>
      <c r="K17" s="140">
        <v>3</v>
      </c>
      <c r="L17" s="139">
        <v>61</v>
      </c>
      <c r="M17" s="276">
        <v>22</v>
      </c>
      <c r="N17" s="273">
        <v>23</v>
      </c>
      <c r="O17" s="144">
        <v>6</v>
      </c>
      <c r="P17" s="278" t="s">
        <v>16</v>
      </c>
      <c r="Q17" s="367" t="s">
        <v>16</v>
      </c>
      <c r="R17" s="383">
        <v>246</v>
      </c>
      <c r="S17" s="225">
        <v>476</v>
      </c>
      <c r="T17" s="139">
        <v>1</v>
      </c>
      <c r="U17" s="276">
        <v>13</v>
      </c>
      <c r="V17" s="273">
        <v>7</v>
      </c>
      <c r="W17" s="225">
        <v>6</v>
      </c>
      <c r="X17" s="135">
        <v>1</v>
      </c>
      <c r="Y17" s="135">
        <v>3</v>
      </c>
      <c r="Z17" s="273">
        <v>201</v>
      </c>
      <c r="AA17" s="375">
        <v>270</v>
      </c>
      <c r="AB17" s="271" t="s">
        <v>16</v>
      </c>
      <c r="AC17" s="136">
        <v>1</v>
      </c>
      <c r="AD17" s="271">
        <v>2</v>
      </c>
      <c r="AE17" s="136">
        <v>3</v>
      </c>
      <c r="AG17" s="37"/>
    </row>
    <row r="18" spans="1:35" ht="19.5" customHeight="1" thickBot="1" thickTop="1">
      <c r="A18" s="195">
        <v>13</v>
      </c>
      <c r="B18" s="192">
        <v>1040</v>
      </c>
      <c r="C18" s="144">
        <v>151</v>
      </c>
      <c r="D18" s="181" t="s">
        <v>105</v>
      </c>
      <c r="E18" s="138">
        <v>30</v>
      </c>
      <c r="F18" s="328">
        <v>344</v>
      </c>
      <c r="G18" s="324">
        <f t="shared" si="0"/>
        <v>80.94117647058823</v>
      </c>
      <c r="H18" s="139">
        <v>8</v>
      </c>
      <c r="I18" s="138">
        <v>17</v>
      </c>
      <c r="J18" s="138">
        <v>2</v>
      </c>
      <c r="K18" s="140" t="s">
        <v>16</v>
      </c>
      <c r="L18" s="139">
        <v>57</v>
      </c>
      <c r="M18" s="276">
        <v>15</v>
      </c>
      <c r="N18" s="273">
        <v>16</v>
      </c>
      <c r="O18" s="144">
        <v>9</v>
      </c>
      <c r="P18" s="135">
        <v>1</v>
      </c>
      <c r="Q18" s="367" t="s">
        <v>16</v>
      </c>
      <c r="R18" s="383">
        <v>181</v>
      </c>
      <c r="S18" s="225">
        <v>455</v>
      </c>
      <c r="T18" s="139">
        <v>6</v>
      </c>
      <c r="U18" s="276">
        <v>9</v>
      </c>
      <c r="V18" s="273">
        <v>18</v>
      </c>
      <c r="W18" s="225">
        <v>13</v>
      </c>
      <c r="X18" s="278" t="s">
        <v>16</v>
      </c>
      <c r="Y18" s="135">
        <v>2</v>
      </c>
      <c r="Z18" s="273">
        <v>340</v>
      </c>
      <c r="AA18" s="375">
        <v>245</v>
      </c>
      <c r="AB18" s="271">
        <v>1</v>
      </c>
      <c r="AC18" s="136" t="s">
        <v>16</v>
      </c>
      <c r="AD18" s="271">
        <v>1</v>
      </c>
      <c r="AE18" s="136">
        <v>2</v>
      </c>
      <c r="AG18" s="37"/>
      <c r="AI18" s="76"/>
    </row>
    <row r="19" spans="1:35" ht="19.5" customHeight="1" thickBot="1" thickTop="1">
      <c r="A19" s="195">
        <v>14</v>
      </c>
      <c r="B19" s="192">
        <v>892</v>
      </c>
      <c r="C19" s="144">
        <v>164</v>
      </c>
      <c r="D19" s="181" t="s">
        <v>106</v>
      </c>
      <c r="E19" s="138">
        <v>34</v>
      </c>
      <c r="F19" s="328">
        <v>346</v>
      </c>
      <c r="G19" s="324">
        <f t="shared" si="0"/>
        <v>81.41176470588235</v>
      </c>
      <c r="H19" s="139">
        <v>7</v>
      </c>
      <c r="I19" s="138">
        <v>30</v>
      </c>
      <c r="J19" s="138">
        <v>2</v>
      </c>
      <c r="K19" s="140">
        <v>2</v>
      </c>
      <c r="L19" s="139">
        <v>59</v>
      </c>
      <c r="M19" s="276">
        <v>22</v>
      </c>
      <c r="N19" s="273">
        <v>16</v>
      </c>
      <c r="O19" s="144">
        <v>14</v>
      </c>
      <c r="P19" s="278" t="s">
        <v>16</v>
      </c>
      <c r="Q19" s="367" t="s">
        <v>16</v>
      </c>
      <c r="R19" s="273">
        <v>146</v>
      </c>
      <c r="S19" s="225">
        <v>416</v>
      </c>
      <c r="T19" s="139">
        <v>5</v>
      </c>
      <c r="U19" s="276">
        <v>8</v>
      </c>
      <c r="V19" s="273">
        <v>7</v>
      </c>
      <c r="W19" s="225">
        <v>9</v>
      </c>
      <c r="X19" s="278" t="s">
        <v>16</v>
      </c>
      <c r="Y19" s="135">
        <v>2</v>
      </c>
      <c r="Z19" s="273">
        <v>212</v>
      </c>
      <c r="AA19" s="375">
        <v>390</v>
      </c>
      <c r="AB19" s="271">
        <v>3</v>
      </c>
      <c r="AC19" s="136">
        <v>6</v>
      </c>
      <c r="AD19" s="271">
        <v>1</v>
      </c>
      <c r="AE19" s="144">
        <v>2</v>
      </c>
      <c r="AG19" s="37"/>
      <c r="AI19" s="76"/>
    </row>
    <row r="20" spans="1:33" ht="19.5" customHeight="1" thickBot="1" thickTop="1">
      <c r="A20" s="195">
        <v>15</v>
      </c>
      <c r="B20" s="192">
        <v>1025</v>
      </c>
      <c r="C20" s="144">
        <v>181</v>
      </c>
      <c r="D20" s="181" t="s">
        <v>107</v>
      </c>
      <c r="E20" s="138">
        <v>39</v>
      </c>
      <c r="F20" s="328">
        <v>325</v>
      </c>
      <c r="G20" s="324">
        <f t="shared" si="0"/>
        <v>76.47058823529412</v>
      </c>
      <c r="H20" s="139">
        <v>5</v>
      </c>
      <c r="I20" s="138">
        <v>32</v>
      </c>
      <c r="J20" s="138">
        <v>3</v>
      </c>
      <c r="K20" s="140" t="s">
        <v>16</v>
      </c>
      <c r="L20" s="139">
        <v>65</v>
      </c>
      <c r="M20" s="276">
        <v>11</v>
      </c>
      <c r="N20" s="273">
        <v>21</v>
      </c>
      <c r="O20" s="144">
        <v>8</v>
      </c>
      <c r="P20" s="278" t="s">
        <v>16</v>
      </c>
      <c r="Q20" s="367" t="s">
        <v>16</v>
      </c>
      <c r="R20" s="273">
        <v>110</v>
      </c>
      <c r="S20" s="225">
        <v>306</v>
      </c>
      <c r="T20" s="139">
        <v>4</v>
      </c>
      <c r="U20" s="276">
        <v>13</v>
      </c>
      <c r="V20" s="273">
        <v>7</v>
      </c>
      <c r="W20" s="225">
        <v>9</v>
      </c>
      <c r="X20" s="278" t="s">
        <v>16</v>
      </c>
      <c r="Y20" s="278" t="s">
        <v>16</v>
      </c>
      <c r="Z20" s="273">
        <v>317</v>
      </c>
      <c r="AA20" s="375">
        <v>310</v>
      </c>
      <c r="AB20" s="271" t="s">
        <v>16</v>
      </c>
      <c r="AC20" s="136" t="s">
        <v>16</v>
      </c>
      <c r="AD20" s="271" t="s">
        <v>16</v>
      </c>
      <c r="AE20" s="136" t="s">
        <v>16</v>
      </c>
      <c r="AG20" s="37"/>
    </row>
    <row r="21" spans="1:33" ht="19.5" customHeight="1" thickBot="1" thickTop="1">
      <c r="A21" s="280">
        <v>16</v>
      </c>
      <c r="B21" s="281" t="s">
        <v>16</v>
      </c>
      <c r="C21" s="282">
        <v>228</v>
      </c>
      <c r="D21" s="283" t="s">
        <v>108</v>
      </c>
      <c r="E21" s="284">
        <v>10</v>
      </c>
      <c r="F21" s="329">
        <v>331</v>
      </c>
      <c r="G21" s="325">
        <f t="shared" si="0"/>
        <v>77.88235294117646</v>
      </c>
      <c r="H21" s="285" t="s">
        <v>16</v>
      </c>
      <c r="I21" s="284" t="s">
        <v>16</v>
      </c>
      <c r="J21" s="284">
        <v>4</v>
      </c>
      <c r="K21" s="286" t="s">
        <v>16</v>
      </c>
      <c r="L21" s="285">
        <v>6</v>
      </c>
      <c r="M21" s="291">
        <v>2</v>
      </c>
      <c r="N21" s="292" t="s">
        <v>16</v>
      </c>
      <c r="O21" s="282" t="s">
        <v>16</v>
      </c>
      <c r="P21" s="387" t="s">
        <v>16</v>
      </c>
      <c r="Q21" s="282" t="s">
        <v>16</v>
      </c>
      <c r="R21" s="292" t="s">
        <v>16</v>
      </c>
      <c r="S21" s="379">
        <v>83</v>
      </c>
      <c r="T21" s="285" t="s">
        <v>16</v>
      </c>
      <c r="U21" s="286" t="s">
        <v>16</v>
      </c>
      <c r="V21" s="292" t="s">
        <v>16</v>
      </c>
      <c r="W21" s="379" t="s">
        <v>16</v>
      </c>
      <c r="X21" s="285" t="s">
        <v>16</v>
      </c>
      <c r="Y21" s="282" t="s">
        <v>16</v>
      </c>
      <c r="Z21" s="378" t="s">
        <v>16</v>
      </c>
      <c r="AA21" s="365">
        <v>22</v>
      </c>
      <c r="AB21" s="292" t="s">
        <v>16</v>
      </c>
      <c r="AC21" s="282" t="s">
        <v>16</v>
      </c>
      <c r="AD21" s="292">
        <v>2</v>
      </c>
      <c r="AE21" s="286">
        <v>1</v>
      </c>
      <c r="AG21" s="37"/>
    </row>
    <row r="22" spans="1:33" ht="19.5" customHeight="1" thickBot="1" thickTop="1">
      <c r="A22" s="195">
        <v>17</v>
      </c>
      <c r="B22" s="192">
        <v>1362</v>
      </c>
      <c r="C22" s="144">
        <v>156</v>
      </c>
      <c r="D22" s="181" t="s">
        <v>109</v>
      </c>
      <c r="E22" s="138">
        <v>54</v>
      </c>
      <c r="F22" s="328">
        <v>317</v>
      </c>
      <c r="G22" s="324">
        <f t="shared" si="0"/>
        <v>74.58823529411765</v>
      </c>
      <c r="H22" s="139">
        <v>7</v>
      </c>
      <c r="I22" s="138">
        <v>36</v>
      </c>
      <c r="J22" s="138">
        <v>2</v>
      </c>
      <c r="K22" s="140">
        <v>1</v>
      </c>
      <c r="L22" s="139">
        <v>93</v>
      </c>
      <c r="M22" s="276">
        <v>16</v>
      </c>
      <c r="N22" s="273">
        <v>19</v>
      </c>
      <c r="O22" s="144">
        <v>13</v>
      </c>
      <c r="P22" s="278" t="s">
        <v>16</v>
      </c>
      <c r="Q22" s="367" t="s">
        <v>16</v>
      </c>
      <c r="R22" s="383">
        <v>192</v>
      </c>
      <c r="S22" s="225">
        <v>394</v>
      </c>
      <c r="T22" s="139">
        <v>4</v>
      </c>
      <c r="U22" s="276">
        <v>12</v>
      </c>
      <c r="V22" s="273">
        <v>9</v>
      </c>
      <c r="W22" s="225">
        <v>6</v>
      </c>
      <c r="X22" s="278" t="s">
        <v>16</v>
      </c>
      <c r="Y22" s="135">
        <v>3</v>
      </c>
      <c r="Z22" s="273">
        <v>367</v>
      </c>
      <c r="AA22" s="375">
        <v>295</v>
      </c>
      <c r="AB22" s="271">
        <v>9</v>
      </c>
      <c r="AC22" s="136">
        <v>7</v>
      </c>
      <c r="AD22" s="271">
        <v>4</v>
      </c>
      <c r="AE22" s="136">
        <v>1</v>
      </c>
      <c r="AG22" s="37"/>
    </row>
    <row r="23" spans="1:33" ht="19.5" customHeight="1" thickBot="1" thickTop="1">
      <c r="A23" s="195">
        <v>18</v>
      </c>
      <c r="B23" s="192">
        <v>1095</v>
      </c>
      <c r="C23" s="144">
        <v>159</v>
      </c>
      <c r="D23" s="181" t="s">
        <v>110</v>
      </c>
      <c r="E23" s="138">
        <v>35</v>
      </c>
      <c r="F23" s="328">
        <v>319</v>
      </c>
      <c r="G23" s="324">
        <f t="shared" si="0"/>
        <v>75.05882352941177</v>
      </c>
      <c r="H23" s="139">
        <v>5</v>
      </c>
      <c r="I23" s="138">
        <v>33</v>
      </c>
      <c r="J23" s="138">
        <v>1</v>
      </c>
      <c r="K23" s="140" t="s">
        <v>16</v>
      </c>
      <c r="L23" s="139">
        <v>57</v>
      </c>
      <c r="M23" s="276">
        <v>13</v>
      </c>
      <c r="N23" s="273">
        <v>27</v>
      </c>
      <c r="O23" s="144">
        <v>7</v>
      </c>
      <c r="P23" s="278" t="s">
        <v>16</v>
      </c>
      <c r="Q23" s="367" t="s">
        <v>16</v>
      </c>
      <c r="R23" s="383">
        <v>238</v>
      </c>
      <c r="S23" s="225">
        <v>297</v>
      </c>
      <c r="T23" s="139">
        <v>5</v>
      </c>
      <c r="U23" s="276">
        <v>16</v>
      </c>
      <c r="V23" s="273">
        <v>8</v>
      </c>
      <c r="W23" s="225">
        <v>17</v>
      </c>
      <c r="X23" s="278" t="s">
        <v>16</v>
      </c>
      <c r="Y23" s="278" t="s">
        <v>16</v>
      </c>
      <c r="Z23" s="273">
        <v>293</v>
      </c>
      <c r="AA23" s="375">
        <v>320</v>
      </c>
      <c r="AB23" s="271">
        <v>2</v>
      </c>
      <c r="AC23" s="136">
        <v>6</v>
      </c>
      <c r="AD23" s="271">
        <v>1</v>
      </c>
      <c r="AE23" s="136">
        <v>1</v>
      </c>
      <c r="AG23" s="37"/>
    </row>
    <row r="24" spans="1:33" ht="19.5" customHeight="1" thickBot="1" thickTop="1">
      <c r="A24" s="195">
        <v>19</v>
      </c>
      <c r="B24" s="192">
        <v>970</v>
      </c>
      <c r="C24" s="144">
        <v>167</v>
      </c>
      <c r="D24" s="181" t="s">
        <v>111</v>
      </c>
      <c r="E24" s="138">
        <v>41</v>
      </c>
      <c r="F24" s="328">
        <v>314</v>
      </c>
      <c r="G24" s="324">
        <f t="shared" si="0"/>
        <v>73.88235294117646</v>
      </c>
      <c r="H24" s="139">
        <v>12</v>
      </c>
      <c r="I24" s="138">
        <v>34</v>
      </c>
      <c r="J24" s="138">
        <v>3</v>
      </c>
      <c r="K24" s="140" t="s">
        <v>16</v>
      </c>
      <c r="L24" s="139">
        <v>57</v>
      </c>
      <c r="M24" s="276">
        <v>10</v>
      </c>
      <c r="N24" s="273">
        <v>21</v>
      </c>
      <c r="O24" s="144">
        <v>7</v>
      </c>
      <c r="P24" s="278" t="s">
        <v>16</v>
      </c>
      <c r="Q24" s="367" t="s">
        <v>16</v>
      </c>
      <c r="R24" s="383">
        <v>152</v>
      </c>
      <c r="S24" s="225">
        <v>343</v>
      </c>
      <c r="T24" s="139">
        <v>6</v>
      </c>
      <c r="U24" s="276">
        <v>10</v>
      </c>
      <c r="V24" s="273">
        <v>8</v>
      </c>
      <c r="W24" s="225">
        <v>7</v>
      </c>
      <c r="X24" s="278" t="s">
        <v>16</v>
      </c>
      <c r="Y24" s="135">
        <v>1</v>
      </c>
      <c r="Z24" s="273">
        <v>215</v>
      </c>
      <c r="AA24" s="375">
        <v>260</v>
      </c>
      <c r="AB24" s="271">
        <v>2</v>
      </c>
      <c r="AC24" s="136">
        <v>5</v>
      </c>
      <c r="AD24" s="271">
        <v>1</v>
      </c>
      <c r="AE24" s="136" t="s">
        <v>16</v>
      </c>
      <c r="AG24" s="37"/>
    </row>
    <row r="25" spans="1:33" ht="19.5" customHeight="1" thickBot="1" thickTop="1">
      <c r="A25" s="195">
        <v>20</v>
      </c>
      <c r="B25" s="192">
        <v>1242</v>
      </c>
      <c r="C25" s="144">
        <v>160</v>
      </c>
      <c r="D25" s="181" t="s">
        <v>112</v>
      </c>
      <c r="E25" s="138">
        <v>36</v>
      </c>
      <c r="F25" s="328">
        <v>312</v>
      </c>
      <c r="G25" s="324">
        <f t="shared" si="0"/>
        <v>73.41176470588235</v>
      </c>
      <c r="H25" s="139">
        <v>9</v>
      </c>
      <c r="I25" s="138">
        <v>34</v>
      </c>
      <c r="J25" s="138" t="s">
        <v>16</v>
      </c>
      <c r="K25" s="140">
        <v>1</v>
      </c>
      <c r="L25" s="139">
        <v>71</v>
      </c>
      <c r="M25" s="276">
        <v>16</v>
      </c>
      <c r="N25" s="273">
        <v>19</v>
      </c>
      <c r="O25" s="144">
        <v>8</v>
      </c>
      <c r="P25" s="278" t="s">
        <v>16</v>
      </c>
      <c r="Q25" s="367" t="s">
        <v>16</v>
      </c>
      <c r="R25" s="383">
        <v>217</v>
      </c>
      <c r="S25" s="225">
        <v>266</v>
      </c>
      <c r="T25" s="139">
        <v>9</v>
      </c>
      <c r="U25" s="276">
        <v>14</v>
      </c>
      <c r="V25" s="273">
        <v>14</v>
      </c>
      <c r="W25" s="225">
        <v>2</v>
      </c>
      <c r="X25" s="278" t="s">
        <v>16</v>
      </c>
      <c r="Y25" s="278" t="s">
        <v>16</v>
      </c>
      <c r="Z25" s="273">
        <v>473</v>
      </c>
      <c r="AA25" s="375">
        <v>360</v>
      </c>
      <c r="AB25" s="271">
        <v>4</v>
      </c>
      <c r="AC25" s="136">
        <v>8</v>
      </c>
      <c r="AD25" s="271">
        <v>5</v>
      </c>
      <c r="AE25" s="136" t="s">
        <v>16</v>
      </c>
      <c r="AG25" s="37"/>
    </row>
    <row r="26" spans="1:33" ht="19.5" customHeight="1" thickBot="1" thickTop="1">
      <c r="A26" s="195">
        <v>21</v>
      </c>
      <c r="B26" s="192">
        <v>902</v>
      </c>
      <c r="C26" s="144">
        <v>160</v>
      </c>
      <c r="D26" s="181" t="s">
        <v>113</v>
      </c>
      <c r="E26" s="138">
        <v>27</v>
      </c>
      <c r="F26" s="328">
        <v>326</v>
      </c>
      <c r="G26" s="324">
        <f t="shared" si="0"/>
        <v>76.70588235294117</v>
      </c>
      <c r="H26" s="139">
        <v>7</v>
      </c>
      <c r="I26" s="138">
        <v>40</v>
      </c>
      <c r="J26" s="138">
        <v>2</v>
      </c>
      <c r="K26" s="140">
        <v>1</v>
      </c>
      <c r="L26" s="139">
        <v>59</v>
      </c>
      <c r="M26" s="276">
        <v>17</v>
      </c>
      <c r="N26" s="273">
        <v>25</v>
      </c>
      <c r="O26" s="144">
        <v>8</v>
      </c>
      <c r="P26" s="278" t="s">
        <v>16</v>
      </c>
      <c r="Q26" s="367" t="s">
        <v>16</v>
      </c>
      <c r="R26" s="273">
        <v>209</v>
      </c>
      <c r="S26" s="225">
        <v>356</v>
      </c>
      <c r="T26" s="139">
        <v>7</v>
      </c>
      <c r="U26" s="276">
        <v>20</v>
      </c>
      <c r="V26" s="273">
        <v>11</v>
      </c>
      <c r="W26" s="225">
        <v>5</v>
      </c>
      <c r="X26" s="278" t="s">
        <v>16</v>
      </c>
      <c r="Y26" s="135">
        <v>1</v>
      </c>
      <c r="Z26" s="273">
        <v>252</v>
      </c>
      <c r="AA26" s="375">
        <v>315</v>
      </c>
      <c r="AB26" s="271">
        <v>2</v>
      </c>
      <c r="AC26" s="136" t="s">
        <v>16</v>
      </c>
      <c r="AD26" s="271">
        <v>7</v>
      </c>
      <c r="AE26" s="136">
        <v>1</v>
      </c>
      <c r="AG26" s="37"/>
    </row>
    <row r="27" spans="1:33" ht="19.5" customHeight="1" thickBot="1" thickTop="1">
      <c r="A27" s="195">
        <v>22</v>
      </c>
      <c r="B27" s="192">
        <v>1090</v>
      </c>
      <c r="C27" s="144">
        <v>199</v>
      </c>
      <c r="D27" s="181" t="s">
        <v>114</v>
      </c>
      <c r="E27" s="138">
        <v>42</v>
      </c>
      <c r="F27" s="328">
        <v>314</v>
      </c>
      <c r="G27" s="324">
        <f t="shared" si="0"/>
        <v>73.88235294117646</v>
      </c>
      <c r="H27" s="139">
        <v>4</v>
      </c>
      <c r="I27" s="138">
        <v>24</v>
      </c>
      <c r="J27" s="138">
        <v>1</v>
      </c>
      <c r="K27" s="140">
        <v>1</v>
      </c>
      <c r="L27" s="139">
        <v>67</v>
      </c>
      <c r="M27" s="276">
        <v>12</v>
      </c>
      <c r="N27" s="273">
        <v>19</v>
      </c>
      <c r="O27" s="144">
        <v>10</v>
      </c>
      <c r="P27" s="278" t="s">
        <v>16</v>
      </c>
      <c r="Q27" s="367" t="s">
        <v>16</v>
      </c>
      <c r="R27" s="383">
        <v>88</v>
      </c>
      <c r="S27" s="225">
        <v>287</v>
      </c>
      <c r="T27" s="139">
        <v>4</v>
      </c>
      <c r="U27" s="276">
        <v>8</v>
      </c>
      <c r="V27" s="273">
        <v>6</v>
      </c>
      <c r="W27" s="225">
        <v>6</v>
      </c>
      <c r="X27" s="278" t="s">
        <v>16</v>
      </c>
      <c r="Y27" s="135">
        <v>1</v>
      </c>
      <c r="Z27" s="273">
        <v>108</v>
      </c>
      <c r="AA27" s="375">
        <v>170</v>
      </c>
      <c r="AB27" s="271" t="s">
        <v>16</v>
      </c>
      <c r="AC27" s="136" t="s">
        <v>16</v>
      </c>
      <c r="AD27" s="271" t="s">
        <v>16</v>
      </c>
      <c r="AE27" s="144" t="s">
        <v>16</v>
      </c>
      <c r="AG27" s="37"/>
    </row>
    <row r="28" spans="1:33" ht="19.5" customHeight="1" thickBot="1" thickTop="1">
      <c r="A28" s="280">
        <v>23</v>
      </c>
      <c r="B28" s="281" t="s">
        <v>16</v>
      </c>
      <c r="C28" s="282">
        <v>192</v>
      </c>
      <c r="D28" s="283" t="s">
        <v>115</v>
      </c>
      <c r="E28" s="284">
        <v>13</v>
      </c>
      <c r="F28" s="329">
        <v>308</v>
      </c>
      <c r="G28" s="325">
        <f t="shared" si="0"/>
        <v>72.47058823529412</v>
      </c>
      <c r="H28" s="285">
        <v>1</v>
      </c>
      <c r="I28" s="284" t="s">
        <v>16</v>
      </c>
      <c r="J28" s="284">
        <v>3</v>
      </c>
      <c r="K28" s="286">
        <v>1</v>
      </c>
      <c r="L28" s="285">
        <v>15</v>
      </c>
      <c r="M28" s="291">
        <v>5</v>
      </c>
      <c r="N28" s="292" t="s">
        <v>16</v>
      </c>
      <c r="O28" s="282" t="s">
        <v>16</v>
      </c>
      <c r="P28" s="387" t="s">
        <v>16</v>
      </c>
      <c r="Q28" s="282" t="s">
        <v>16</v>
      </c>
      <c r="R28" s="292" t="s">
        <v>16</v>
      </c>
      <c r="S28" s="379">
        <v>68</v>
      </c>
      <c r="T28" s="285" t="s">
        <v>16</v>
      </c>
      <c r="U28" s="286" t="s">
        <v>16</v>
      </c>
      <c r="V28" s="292" t="s">
        <v>16</v>
      </c>
      <c r="W28" s="379" t="s">
        <v>16</v>
      </c>
      <c r="X28" s="285" t="s">
        <v>16</v>
      </c>
      <c r="Y28" s="282" t="s">
        <v>16</v>
      </c>
      <c r="Z28" s="378" t="s">
        <v>16</v>
      </c>
      <c r="AA28" s="365">
        <v>10</v>
      </c>
      <c r="AB28" s="292" t="s">
        <v>16</v>
      </c>
      <c r="AC28" s="282" t="s">
        <v>16</v>
      </c>
      <c r="AD28" s="292">
        <v>4</v>
      </c>
      <c r="AE28" s="286">
        <v>1</v>
      </c>
      <c r="AG28" s="37"/>
    </row>
    <row r="29" spans="1:33" ht="19.5" customHeight="1" thickBot="1" thickTop="1">
      <c r="A29" s="195">
        <v>24</v>
      </c>
      <c r="B29" s="192">
        <v>1104</v>
      </c>
      <c r="C29" s="144">
        <v>122</v>
      </c>
      <c r="D29" s="181" t="s">
        <v>116</v>
      </c>
      <c r="E29" s="138">
        <v>63</v>
      </c>
      <c r="F29" s="328">
        <v>280</v>
      </c>
      <c r="G29" s="324">
        <f t="shared" si="0"/>
        <v>65.88235294117646</v>
      </c>
      <c r="H29" s="139">
        <v>14</v>
      </c>
      <c r="I29" s="138">
        <v>34</v>
      </c>
      <c r="J29" s="138">
        <v>1</v>
      </c>
      <c r="K29" s="140">
        <v>3</v>
      </c>
      <c r="L29" s="139">
        <v>57</v>
      </c>
      <c r="M29" s="276">
        <v>17</v>
      </c>
      <c r="N29" s="273">
        <v>19</v>
      </c>
      <c r="O29" s="144">
        <v>4</v>
      </c>
      <c r="P29" s="278" t="s">
        <v>16</v>
      </c>
      <c r="Q29" s="367" t="s">
        <v>16</v>
      </c>
      <c r="R29" s="383">
        <v>159</v>
      </c>
      <c r="S29" s="225">
        <v>263</v>
      </c>
      <c r="T29" s="139">
        <v>5</v>
      </c>
      <c r="U29" s="276">
        <v>10</v>
      </c>
      <c r="V29" s="273">
        <v>14</v>
      </c>
      <c r="W29" s="225">
        <v>8</v>
      </c>
      <c r="X29" s="278" t="s">
        <v>16</v>
      </c>
      <c r="Y29" s="278" t="s">
        <v>16</v>
      </c>
      <c r="Z29" s="273">
        <v>306</v>
      </c>
      <c r="AA29" s="375">
        <v>374</v>
      </c>
      <c r="AB29" s="271">
        <v>7</v>
      </c>
      <c r="AC29" s="136">
        <v>3</v>
      </c>
      <c r="AD29" s="271" t="s">
        <v>16</v>
      </c>
      <c r="AE29" s="136" t="s">
        <v>16</v>
      </c>
      <c r="AG29" s="37"/>
    </row>
    <row r="30" spans="1:33" ht="19.5" customHeight="1" thickBot="1" thickTop="1">
      <c r="A30" s="195">
        <v>25</v>
      </c>
      <c r="B30" s="192">
        <v>661</v>
      </c>
      <c r="C30" s="144">
        <v>136</v>
      </c>
      <c r="D30" s="181" t="s">
        <v>117</v>
      </c>
      <c r="E30" s="138">
        <v>42</v>
      </c>
      <c r="F30" s="328">
        <v>252</v>
      </c>
      <c r="G30" s="324">
        <f>+F30/4.25</f>
        <v>59.294117647058826</v>
      </c>
      <c r="H30" s="139">
        <v>1</v>
      </c>
      <c r="I30" s="138">
        <v>34</v>
      </c>
      <c r="J30" s="138">
        <v>4</v>
      </c>
      <c r="K30" s="140" t="s">
        <v>16</v>
      </c>
      <c r="L30" s="139">
        <v>23</v>
      </c>
      <c r="M30" s="276">
        <v>8</v>
      </c>
      <c r="N30" s="273">
        <v>17</v>
      </c>
      <c r="O30" s="144">
        <v>11</v>
      </c>
      <c r="P30" s="278" t="s">
        <v>16</v>
      </c>
      <c r="Q30" s="367" t="s">
        <v>16</v>
      </c>
      <c r="R30" s="383">
        <v>111</v>
      </c>
      <c r="S30" s="225">
        <v>199</v>
      </c>
      <c r="T30" s="139">
        <v>5</v>
      </c>
      <c r="U30" s="276">
        <v>8</v>
      </c>
      <c r="V30" s="273" t="s">
        <v>16</v>
      </c>
      <c r="W30" s="225">
        <v>4</v>
      </c>
      <c r="X30" s="278" t="s">
        <v>16</v>
      </c>
      <c r="Y30" s="278" t="s">
        <v>16</v>
      </c>
      <c r="Z30" s="273">
        <v>180</v>
      </c>
      <c r="AA30" s="375">
        <v>198</v>
      </c>
      <c r="AB30" s="271">
        <v>5</v>
      </c>
      <c r="AC30" s="136">
        <v>6</v>
      </c>
      <c r="AD30" s="271" t="s">
        <v>16</v>
      </c>
      <c r="AE30" s="136" t="s">
        <v>16</v>
      </c>
      <c r="AG30" s="37"/>
    </row>
    <row r="31" spans="1:32" ht="19.5" customHeight="1" thickBot="1" thickTop="1">
      <c r="A31" s="195">
        <v>26</v>
      </c>
      <c r="B31" s="192">
        <v>20</v>
      </c>
      <c r="C31" s="144">
        <v>174</v>
      </c>
      <c r="D31" s="181" t="s">
        <v>118</v>
      </c>
      <c r="E31" s="138">
        <v>6</v>
      </c>
      <c r="F31" s="328">
        <v>248</v>
      </c>
      <c r="G31" s="324">
        <f t="shared" si="0"/>
        <v>58.35294117647059</v>
      </c>
      <c r="H31" s="139" t="s">
        <v>16</v>
      </c>
      <c r="I31" s="138" t="s">
        <v>16</v>
      </c>
      <c r="J31" s="138">
        <v>3</v>
      </c>
      <c r="K31" s="140" t="s">
        <v>16</v>
      </c>
      <c r="L31" s="139">
        <v>9</v>
      </c>
      <c r="M31" s="276">
        <v>2</v>
      </c>
      <c r="N31" s="273" t="s">
        <v>16</v>
      </c>
      <c r="O31" s="144" t="s">
        <v>16</v>
      </c>
      <c r="P31" s="278" t="s">
        <v>16</v>
      </c>
      <c r="Q31" s="367" t="s">
        <v>16</v>
      </c>
      <c r="R31" s="384">
        <v>2</v>
      </c>
      <c r="S31" s="225">
        <v>46</v>
      </c>
      <c r="T31" s="139" t="s">
        <v>16</v>
      </c>
      <c r="U31" s="276" t="s">
        <v>16</v>
      </c>
      <c r="V31" s="273" t="s">
        <v>16</v>
      </c>
      <c r="W31" s="225" t="s">
        <v>16</v>
      </c>
      <c r="X31" s="278" t="s">
        <v>16</v>
      </c>
      <c r="Y31" s="278" t="s">
        <v>16</v>
      </c>
      <c r="Z31" s="273" t="s">
        <v>16</v>
      </c>
      <c r="AA31" s="375">
        <v>30</v>
      </c>
      <c r="AB31" s="271" t="s">
        <v>16</v>
      </c>
      <c r="AC31" s="136" t="s">
        <v>16</v>
      </c>
      <c r="AD31" s="271" t="s">
        <v>16</v>
      </c>
      <c r="AE31" s="136" t="s">
        <v>16</v>
      </c>
      <c r="AF31" s="37"/>
    </row>
    <row r="32" spans="1:32" ht="19.5" customHeight="1" thickBot="1" thickTop="1">
      <c r="A32" s="195">
        <v>27</v>
      </c>
      <c r="B32" s="192">
        <v>871</v>
      </c>
      <c r="C32" s="144">
        <v>172</v>
      </c>
      <c r="D32" s="181" t="s">
        <v>119</v>
      </c>
      <c r="E32" s="138">
        <v>19</v>
      </c>
      <c r="F32" s="328">
        <v>252</v>
      </c>
      <c r="G32" s="324">
        <f t="shared" si="0"/>
        <v>59.294117647058826</v>
      </c>
      <c r="H32" s="139">
        <v>7</v>
      </c>
      <c r="I32" s="138">
        <v>27</v>
      </c>
      <c r="J32" s="138">
        <v>1</v>
      </c>
      <c r="K32" s="140">
        <v>1</v>
      </c>
      <c r="L32" s="139">
        <v>56</v>
      </c>
      <c r="M32" s="276">
        <v>19</v>
      </c>
      <c r="N32" s="273">
        <v>15</v>
      </c>
      <c r="O32" s="144">
        <v>9</v>
      </c>
      <c r="P32" s="278" t="s">
        <v>16</v>
      </c>
      <c r="Q32" s="367" t="s">
        <v>16</v>
      </c>
      <c r="R32" s="383">
        <v>77</v>
      </c>
      <c r="S32" s="225">
        <v>252</v>
      </c>
      <c r="T32" s="139">
        <v>1</v>
      </c>
      <c r="U32" s="276">
        <v>15</v>
      </c>
      <c r="V32" s="273">
        <v>1</v>
      </c>
      <c r="W32" s="225">
        <v>4</v>
      </c>
      <c r="X32" s="278" t="s">
        <v>16</v>
      </c>
      <c r="Y32" s="135">
        <v>3</v>
      </c>
      <c r="Z32" s="273">
        <v>207</v>
      </c>
      <c r="AA32" s="375">
        <v>295</v>
      </c>
      <c r="AB32" s="271">
        <v>2</v>
      </c>
      <c r="AC32" s="136">
        <v>1</v>
      </c>
      <c r="AD32" s="271">
        <v>2</v>
      </c>
      <c r="AE32" s="136">
        <v>1</v>
      </c>
      <c r="AF32" s="37"/>
    </row>
    <row r="33" spans="1:32" ht="19.5" customHeight="1" thickBot="1" thickTop="1">
      <c r="A33" s="195">
        <v>28</v>
      </c>
      <c r="B33" s="197">
        <v>960</v>
      </c>
      <c r="C33" s="161">
        <v>175</v>
      </c>
      <c r="D33" s="184" t="s">
        <v>120</v>
      </c>
      <c r="E33" s="154">
        <v>16</v>
      </c>
      <c r="F33" s="332">
        <v>284</v>
      </c>
      <c r="G33" s="324">
        <f t="shared" si="0"/>
        <v>66.82352941176471</v>
      </c>
      <c r="H33" s="156">
        <v>4</v>
      </c>
      <c r="I33" s="154">
        <v>30</v>
      </c>
      <c r="J33" s="154">
        <v>2</v>
      </c>
      <c r="K33" s="157">
        <v>1</v>
      </c>
      <c r="L33" s="156">
        <v>65</v>
      </c>
      <c r="M33" s="277">
        <v>26</v>
      </c>
      <c r="N33" s="279">
        <v>21</v>
      </c>
      <c r="O33" s="161">
        <v>6</v>
      </c>
      <c r="P33" s="278" t="s">
        <v>16</v>
      </c>
      <c r="Q33" s="388">
        <v>1</v>
      </c>
      <c r="R33" s="273">
        <v>144</v>
      </c>
      <c r="S33" s="225">
        <v>586</v>
      </c>
      <c r="T33" s="156">
        <v>3</v>
      </c>
      <c r="U33" s="277">
        <v>31</v>
      </c>
      <c r="V33" s="279">
        <v>4</v>
      </c>
      <c r="W33" s="227">
        <v>11</v>
      </c>
      <c r="X33" s="278" t="s">
        <v>16</v>
      </c>
      <c r="Y33" s="278" t="s">
        <v>16</v>
      </c>
      <c r="Z33" s="279">
        <v>187</v>
      </c>
      <c r="AA33" s="376">
        <v>487</v>
      </c>
      <c r="AB33" s="271">
        <v>2</v>
      </c>
      <c r="AC33" s="136">
        <v>2</v>
      </c>
      <c r="AD33" s="271">
        <v>6</v>
      </c>
      <c r="AE33" s="136" t="s">
        <v>16</v>
      </c>
      <c r="AF33" s="37"/>
    </row>
    <row r="34" spans="1:32" ht="19.5" customHeight="1" thickBot="1" thickTop="1">
      <c r="A34" s="195">
        <v>29</v>
      </c>
      <c r="B34" s="192">
        <v>1019</v>
      </c>
      <c r="C34" s="144">
        <v>144</v>
      </c>
      <c r="D34" s="181" t="s">
        <v>121</v>
      </c>
      <c r="E34" s="138">
        <v>40</v>
      </c>
      <c r="F34" s="328">
        <v>274</v>
      </c>
      <c r="G34" s="324">
        <f t="shared" si="0"/>
        <v>64.47058823529412</v>
      </c>
      <c r="H34" s="139">
        <v>7</v>
      </c>
      <c r="I34" s="138">
        <v>30</v>
      </c>
      <c r="J34" s="138">
        <v>3</v>
      </c>
      <c r="K34" s="140">
        <v>1</v>
      </c>
      <c r="L34" s="139">
        <v>48</v>
      </c>
      <c r="M34" s="276">
        <v>17</v>
      </c>
      <c r="N34" s="273">
        <v>16</v>
      </c>
      <c r="O34" s="144">
        <v>11</v>
      </c>
      <c r="P34" s="135">
        <v>1</v>
      </c>
      <c r="Q34" s="367" t="s">
        <v>16</v>
      </c>
      <c r="R34" s="383">
        <v>113</v>
      </c>
      <c r="S34" s="225">
        <v>306</v>
      </c>
      <c r="T34" s="139">
        <v>9</v>
      </c>
      <c r="U34" s="276">
        <v>28</v>
      </c>
      <c r="V34" s="273">
        <v>4</v>
      </c>
      <c r="W34" s="225">
        <v>11</v>
      </c>
      <c r="X34" s="278" t="s">
        <v>16</v>
      </c>
      <c r="Y34" s="135">
        <v>3</v>
      </c>
      <c r="Z34" s="273">
        <v>117</v>
      </c>
      <c r="AA34" s="375">
        <v>392</v>
      </c>
      <c r="AB34" s="271">
        <v>1</v>
      </c>
      <c r="AC34" s="136">
        <v>1</v>
      </c>
      <c r="AD34" s="271" t="s">
        <v>16</v>
      </c>
      <c r="AE34" s="136" t="s">
        <v>16</v>
      </c>
      <c r="AF34" s="37"/>
    </row>
    <row r="35" spans="1:32" ht="19.5" customHeight="1" thickBot="1" thickTop="1">
      <c r="A35" s="280">
        <v>30</v>
      </c>
      <c r="B35" s="281" t="s">
        <v>16</v>
      </c>
      <c r="C35" s="298">
        <v>221</v>
      </c>
      <c r="D35" s="299" t="s">
        <v>122</v>
      </c>
      <c r="E35" s="300">
        <v>8</v>
      </c>
      <c r="F35" s="331">
        <v>278</v>
      </c>
      <c r="G35" s="325">
        <f t="shared" si="0"/>
        <v>65.41176470588235</v>
      </c>
      <c r="H35" s="285">
        <v>1</v>
      </c>
      <c r="I35" s="284" t="s">
        <v>16</v>
      </c>
      <c r="J35" s="284">
        <v>2</v>
      </c>
      <c r="K35" s="286">
        <v>1</v>
      </c>
      <c r="L35" s="301">
        <v>10</v>
      </c>
      <c r="M35" s="303">
        <v>6</v>
      </c>
      <c r="N35" s="304" t="s">
        <v>16</v>
      </c>
      <c r="O35" s="298" t="s">
        <v>16</v>
      </c>
      <c r="P35" s="289" t="s">
        <v>16</v>
      </c>
      <c r="Q35" s="368" t="s">
        <v>16</v>
      </c>
      <c r="R35" s="385" t="s">
        <v>16</v>
      </c>
      <c r="S35" s="380">
        <v>59</v>
      </c>
      <c r="T35" s="301" t="s">
        <v>16</v>
      </c>
      <c r="U35" s="303" t="s">
        <v>16</v>
      </c>
      <c r="V35" s="304" t="s">
        <v>16</v>
      </c>
      <c r="W35" s="380" t="s">
        <v>16</v>
      </c>
      <c r="X35" s="301" t="s">
        <v>16</v>
      </c>
      <c r="Y35" s="298" t="s">
        <v>16</v>
      </c>
      <c r="Z35" s="304"/>
      <c r="AA35" s="377">
        <v>14</v>
      </c>
      <c r="AB35" s="371" t="s">
        <v>16</v>
      </c>
      <c r="AC35" s="294" t="s">
        <v>16</v>
      </c>
      <c r="AD35" s="371" t="s">
        <v>16</v>
      </c>
      <c r="AE35" s="294">
        <v>1</v>
      </c>
      <c r="AF35" s="37"/>
    </row>
    <row r="36" spans="1:32" ht="19.5" customHeight="1" thickBot="1" thickTop="1">
      <c r="A36" s="195">
        <v>31</v>
      </c>
      <c r="B36" s="197">
        <v>1356</v>
      </c>
      <c r="C36" s="161">
        <v>140</v>
      </c>
      <c r="D36" s="184" t="s">
        <v>123</v>
      </c>
      <c r="E36" s="154">
        <v>43</v>
      </c>
      <c r="F36" s="333">
        <v>273</v>
      </c>
      <c r="G36" s="324">
        <f t="shared" si="0"/>
        <v>64.23529411764706</v>
      </c>
      <c r="H36" s="156">
        <v>7</v>
      </c>
      <c r="I36" s="154">
        <v>32</v>
      </c>
      <c r="J36" s="154">
        <v>5</v>
      </c>
      <c r="K36" s="157">
        <v>1</v>
      </c>
      <c r="L36" s="156">
        <v>68</v>
      </c>
      <c r="M36" s="277">
        <v>12</v>
      </c>
      <c r="N36" s="279">
        <v>13</v>
      </c>
      <c r="O36" s="334">
        <v>11</v>
      </c>
      <c r="P36" s="278" t="s">
        <v>16</v>
      </c>
      <c r="Q36" s="367" t="s">
        <v>16</v>
      </c>
      <c r="R36" s="386">
        <v>267</v>
      </c>
      <c r="S36" s="381">
        <v>414</v>
      </c>
      <c r="T36" s="156">
        <v>13</v>
      </c>
      <c r="U36" s="277">
        <v>20</v>
      </c>
      <c r="V36" s="279">
        <v>11</v>
      </c>
      <c r="W36" s="381">
        <v>12</v>
      </c>
      <c r="X36" s="156" t="s">
        <v>16</v>
      </c>
      <c r="Y36" s="161">
        <v>2</v>
      </c>
      <c r="Z36" s="279">
        <v>542</v>
      </c>
      <c r="AA36" s="376">
        <v>385</v>
      </c>
      <c r="AB36" s="372">
        <v>6</v>
      </c>
      <c r="AC36" s="373">
        <v>11</v>
      </c>
      <c r="AD36" s="271" t="s">
        <v>16</v>
      </c>
      <c r="AE36" s="136">
        <v>1</v>
      </c>
      <c r="AF36" s="37"/>
    </row>
    <row r="37" spans="1:32" ht="19.5" customHeight="1" thickBot="1" thickTop="1">
      <c r="A37" s="351" t="s">
        <v>22</v>
      </c>
      <c r="B37" s="352">
        <f aca="true" t="shared" si="1" ref="B37:O37">SUM(B6:B36)</f>
        <v>26112</v>
      </c>
      <c r="C37" s="308">
        <f t="shared" si="1"/>
        <v>5175</v>
      </c>
      <c r="D37" s="353" t="s">
        <v>125</v>
      </c>
      <c r="E37" s="352">
        <f t="shared" si="1"/>
        <v>958</v>
      </c>
      <c r="F37" s="352">
        <f t="shared" si="1"/>
        <v>9273</v>
      </c>
      <c r="G37" s="680">
        <f>SUM(G6:G36)</f>
        <v>2181.882352941176</v>
      </c>
      <c r="H37" s="308">
        <f t="shared" si="1"/>
        <v>176</v>
      </c>
      <c r="I37" s="353">
        <f t="shared" si="1"/>
        <v>768</v>
      </c>
      <c r="J37" s="353">
        <f>SUM(J6:J36)</f>
        <v>76</v>
      </c>
      <c r="K37" s="308">
        <f t="shared" si="1"/>
        <v>28</v>
      </c>
      <c r="L37" s="354">
        <f t="shared" si="1"/>
        <v>1544</v>
      </c>
      <c r="M37" s="353">
        <f t="shared" si="1"/>
        <v>395</v>
      </c>
      <c r="N37" s="352">
        <f t="shared" si="1"/>
        <v>452</v>
      </c>
      <c r="O37" s="308">
        <f t="shared" si="1"/>
        <v>202</v>
      </c>
      <c r="P37" s="308">
        <f>SUM(P6:P36)</f>
        <v>2</v>
      </c>
      <c r="Q37" s="308">
        <f>SUM(Q6:Q36)</f>
        <v>2</v>
      </c>
      <c r="R37" s="355">
        <f aca="true" t="shared" si="2" ref="R37:AA37">SUM(R6:R36)</f>
        <v>4033</v>
      </c>
      <c r="S37" s="354">
        <f t="shared" si="2"/>
        <v>8846</v>
      </c>
      <c r="T37" s="358">
        <f>SUM(T6:T36)</f>
        <v>138</v>
      </c>
      <c r="U37" s="356">
        <f t="shared" si="2"/>
        <v>343</v>
      </c>
      <c r="V37" s="355">
        <f t="shared" si="2"/>
        <v>218</v>
      </c>
      <c r="W37" s="353">
        <f t="shared" si="2"/>
        <v>189</v>
      </c>
      <c r="X37" s="355">
        <f t="shared" si="2"/>
        <v>3</v>
      </c>
      <c r="Y37" s="357">
        <f t="shared" si="2"/>
        <v>36</v>
      </c>
      <c r="Z37" s="355">
        <f t="shared" si="2"/>
        <v>6766</v>
      </c>
      <c r="AA37" s="354">
        <f t="shared" si="2"/>
        <v>7838</v>
      </c>
      <c r="AB37" s="355">
        <f>SUM(AB7:AB36)</f>
        <v>56</v>
      </c>
      <c r="AC37" s="357">
        <f>SUM(AC6:AC36)</f>
        <v>89</v>
      </c>
      <c r="AD37" s="355">
        <f>SUM(AD6:AD36)</f>
        <v>58</v>
      </c>
      <c r="AE37" s="357">
        <f>SUM(AE6:AE36)</f>
        <v>19</v>
      </c>
      <c r="AF37" s="37"/>
    </row>
    <row r="38" spans="1:32" ht="18.75" thickTop="1">
      <c r="A38" s="361" t="s">
        <v>18</v>
      </c>
      <c r="B38" s="359"/>
      <c r="C38" s="359"/>
      <c r="D38" s="359"/>
      <c r="E38" s="359"/>
      <c r="F38" s="37"/>
      <c r="G38" s="681">
        <f>G37/31</f>
        <v>70.38330170777988</v>
      </c>
      <c r="H38" s="37"/>
      <c r="I38" s="37"/>
      <c r="J38" s="37"/>
      <c r="K38" s="123"/>
      <c r="L38" s="360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ht="20.25">
      <c r="A39" s="390" t="s">
        <v>126</v>
      </c>
      <c r="B39" s="390"/>
      <c r="C39" s="390"/>
      <c r="D39" s="391" t="s">
        <v>128</v>
      </c>
      <c r="E39" s="391"/>
      <c r="F39" s="391"/>
      <c r="G39" s="391"/>
      <c r="H39" s="392"/>
      <c r="I39" s="659" t="s">
        <v>129</v>
      </c>
      <c r="J39" s="660"/>
      <c r="K39" s="660"/>
      <c r="L39" s="660"/>
      <c r="M39" s="660"/>
      <c r="N39" s="660"/>
      <c r="O39" s="660"/>
      <c r="P39" s="660"/>
      <c r="Q39" s="661" t="s">
        <v>92</v>
      </c>
      <c r="R39" s="661"/>
      <c r="S39" s="661"/>
      <c r="T39" s="661"/>
      <c r="U39" s="661"/>
      <c r="V39" s="661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8">
      <c r="A40" s="37"/>
      <c r="B40" s="359"/>
      <c r="C40" s="359"/>
      <c r="D40" s="359"/>
      <c r="E40" s="359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61" t="s">
        <v>29</v>
      </c>
      <c r="Z40" s="37"/>
      <c r="AA40" s="37"/>
      <c r="AB40" s="37"/>
      <c r="AC40" s="37"/>
      <c r="AD40" s="37"/>
      <c r="AE40" s="37"/>
      <c r="AF40" s="37"/>
    </row>
    <row r="41" ht="12.75">
      <c r="G41" s="42"/>
    </row>
    <row r="42" ht="12.75">
      <c r="M42" s="76"/>
    </row>
    <row r="43" spans="9:14" ht="12.75">
      <c r="I43" s="9" t="s">
        <v>130</v>
      </c>
      <c r="M43" s="76"/>
      <c r="N43" s="76"/>
    </row>
    <row r="45" spans="10:13" ht="12.75">
      <c r="J45" s="76"/>
      <c r="K45" s="76"/>
      <c r="L45" s="76"/>
      <c r="M45" s="76"/>
    </row>
    <row r="46" spans="10:13" ht="13.5" customHeight="1">
      <c r="J46" s="76"/>
      <c r="K46" s="662"/>
      <c r="L46" s="662"/>
      <c r="M46" s="662"/>
    </row>
    <row r="47" spans="10:13" ht="12.75">
      <c r="J47" s="76"/>
      <c r="K47" s="662"/>
      <c r="L47" s="662"/>
      <c r="M47" s="662"/>
    </row>
    <row r="48" spans="10:13" ht="12.75">
      <c r="J48" s="76"/>
      <c r="K48" s="76"/>
      <c r="L48" s="76"/>
      <c r="M48" s="76"/>
    </row>
    <row r="73" spans="4:7" ht="12.75">
      <c r="D73" s="363"/>
      <c r="G73" s="43"/>
    </row>
    <row r="85" ht="12.75">
      <c r="I85" s="9">
        <f>65-37</f>
        <v>28</v>
      </c>
    </row>
  </sheetData>
  <sheetProtection/>
  <mergeCells count="33">
    <mergeCell ref="D5:G5"/>
    <mergeCell ref="H5:K5"/>
    <mergeCell ref="I3:I4"/>
    <mergeCell ref="J3:J4"/>
    <mergeCell ref="F3:F4"/>
    <mergeCell ref="H3:H4"/>
    <mergeCell ref="K3:K4"/>
    <mergeCell ref="T4:U4"/>
    <mergeCell ref="Z3:AE3"/>
    <mergeCell ref="T3:Y3"/>
    <mergeCell ref="I39:P39"/>
    <mergeCell ref="Q39:V39"/>
    <mergeCell ref="K46:M47"/>
    <mergeCell ref="E3:E4"/>
    <mergeCell ref="AD4:AE4"/>
    <mergeCell ref="Z4:AA4"/>
    <mergeCell ref="AB4:AC4"/>
    <mergeCell ref="G3:G4"/>
    <mergeCell ref="L3:Q3"/>
    <mergeCell ref="L4:M4"/>
    <mergeCell ref="N4:O4"/>
    <mergeCell ref="P4:Q4"/>
    <mergeCell ref="R4:S4"/>
    <mergeCell ref="R3:S3"/>
    <mergeCell ref="X4:Y4"/>
    <mergeCell ref="V4:W4"/>
    <mergeCell ref="A5:C5"/>
    <mergeCell ref="A1:AE1"/>
    <mergeCell ref="A2:AE2"/>
    <mergeCell ref="A3:A4"/>
    <mergeCell ref="B3:B4"/>
    <mergeCell ref="C3:C4"/>
    <mergeCell ref="D3:D4"/>
  </mergeCells>
  <printOptions horizontalCentered="1" verticalCentered="1"/>
  <pageMargins left="0.26" right="0" top="0" bottom="0" header="0.5" footer="0.5"/>
  <pageSetup horizontalDpi="600" verticalDpi="600" orientation="landscape" paperSize="5" scale="71" r:id="rId4"/>
  <rowBreaks count="1" manualBreakCount="1">
    <brk id="40" max="255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</sheetPr>
  <dimension ref="A1:AI84"/>
  <sheetViews>
    <sheetView tabSelected="1" zoomScale="70" zoomScaleNormal="70" zoomScaleSheetLayoutView="85" zoomScalePageLayoutView="0" workbookViewId="0" topLeftCell="A13">
      <selection activeCell="G37" sqref="G37"/>
    </sheetView>
  </sheetViews>
  <sheetFormatPr defaultColWidth="9.140625" defaultRowHeight="12.75"/>
  <cols>
    <col min="1" max="1" width="10.00390625" style="9" customWidth="1"/>
    <col min="2" max="2" width="10.7109375" style="362" customWidth="1"/>
    <col min="3" max="3" width="10.00390625" style="362" customWidth="1"/>
    <col min="4" max="4" width="18.8515625" style="362" customWidth="1"/>
    <col min="5" max="5" width="7.00390625" style="362" customWidth="1"/>
    <col min="6" max="6" width="9.28125" style="9" customWidth="1"/>
    <col min="7" max="7" width="8.7109375" style="9" customWidth="1"/>
    <col min="8" max="8" width="7.28125" style="9" customWidth="1"/>
    <col min="9" max="9" width="7.140625" style="9" customWidth="1"/>
    <col min="10" max="10" width="7.00390625" style="9" customWidth="1"/>
    <col min="11" max="11" width="6.421875" style="9" customWidth="1"/>
    <col min="12" max="12" width="8.8515625" style="9" customWidth="1"/>
    <col min="13" max="13" width="6.8515625" style="9" customWidth="1"/>
    <col min="14" max="14" width="7.57421875" style="9" customWidth="1"/>
    <col min="15" max="15" width="6.8515625" style="9" customWidth="1"/>
    <col min="16" max="16" width="5.57421875" style="9" customWidth="1"/>
    <col min="17" max="17" width="5.00390625" style="9" customWidth="1"/>
    <col min="18" max="18" width="9.421875" style="9" customWidth="1"/>
    <col min="19" max="19" width="9.28125" style="9" bestFit="1" customWidth="1"/>
    <col min="20" max="20" width="7.7109375" style="9" customWidth="1"/>
    <col min="21" max="21" width="6.7109375" style="9" customWidth="1"/>
    <col min="22" max="22" width="7.00390625" style="9" customWidth="1"/>
    <col min="23" max="23" width="6.7109375" style="9" customWidth="1"/>
    <col min="24" max="24" width="5.7109375" style="9" customWidth="1"/>
    <col min="25" max="25" width="6.28125" style="9" customWidth="1"/>
    <col min="26" max="26" width="9.8515625" style="9" customWidth="1"/>
    <col min="27" max="27" width="9.140625" style="9" customWidth="1"/>
    <col min="28" max="28" width="7.140625" style="9" bestFit="1" customWidth="1"/>
    <col min="29" max="29" width="7.140625" style="9" customWidth="1"/>
    <col min="30" max="30" width="5.28125" style="9" customWidth="1"/>
    <col min="31" max="31" width="6.28125" style="9" customWidth="1"/>
    <col min="32" max="16384" width="9.140625" style="9" customWidth="1"/>
  </cols>
  <sheetData>
    <row r="1" spans="1:31" ht="12" customHeight="1">
      <c r="A1" s="636" t="s">
        <v>50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</row>
    <row r="2" spans="1:32" ht="17.25" customHeight="1" thickBot="1">
      <c r="A2" s="637" t="s">
        <v>127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37"/>
    </row>
    <row r="3" spans="1:34" ht="12" customHeight="1" thickBot="1" thickTop="1">
      <c r="A3" s="638" t="s">
        <v>23</v>
      </c>
      <c r="B3" s="640" t="s">
        <v>0</v>
      </c>
      <c r="C3" s="642" t="s">
        <v>56</v>
      </c>
      <c r="D3" s="644" t="s">
        <v>124</v>
      </c>
      <c r="E3" s="646" t="s">
        <v>21</v>
      </c>
      <c r="F3" s="670" t="s">
        <v>19</v>
      </c>
      <c r="G3" s="613" t="s">
        <v>2</v>
      </c>
      <c r="H3" s="672" t="s">
        <v>3</v>
      </c>
      <c r="I3" s="666" t="s">
        <v>4</v>
      </c>
      <c r="J3" s="668" t="s">
        <v>26</v>
      </c>
      <c r="K3" s="674" t="s">
        <v>5</v>
      </c>
      <c r="L3" s="648" t="s">
        <v>17</v>
      </c>
      <c r="M3" s="649"/>
      <c r="N3" s="649"/>
      <c r="O3" s="649"/>
      <c r="P3" s="649"/>
      <c r="Q3" s="650"/>
      <c r="R3" s="628" t="s">
        <v>91</v>
      </c>
      <c r="S3" s="629"/>
      <c r="T3" s="656" t="s">
        <v>83</v>
      </c>
      <c r="U3" s="657"/>
      <c r="V3" s="657"/>
      <c r="W3" s="657"/>
      <c r="X3" s="657"/>
      <c r="Y3" s="658"/>
      <c r="Z3" s="656" t="s">
        <v>82</v>
      </c>
      <c r="AA3" s="657"/>
      <c r="AB3" s="657"/>
      <c r="AC3" s="657"/>
      <c r="AD3" s="657"/>
      <c r="AE3" s="658"/>
      <c r="AF3" s="123"/>
      <c r="AG3" s="76"/>
      <c r="AH3" s="76"/>
    </row>
    <row r="4" spans="1:34" ht="99" customHeight="1" thickBot="1" thickTop="1">
      <c r="A4" s="639"/>
      <c r="B4" s="641"/>
      <c r="C4" s="643"/>
      <c r="D4" s="645"/>
      <c r="E4" s="647"/>
      <c r="F4" s="671"/>
      <c r="G4" s="614"/>
      <c r="H4" s="673"/>
      <c r="I4" s="667"/>
      <c r="J4" s="669"/>
      <c r="K4" s="675"/>
      <c r="L4" s="651" t="s">
        <v>6</v>
      </c>
      <c r="M4" s="652"/>
      <c r="N4" s="651" t="s">
        <v>15</v>
      </c>
      <c r="O4" s="652"/>
      <c r="P4" s="651" t="s">
        <v>7</v>
      </c>
      <c r="Q4" s="653"/>
      <c r="R4" s="654" t="s">
        <v>25</v>
      </c>
      <c r="S4" s="655"/>
      <c r="T4" s="632" t="s">
        <v>34</v>
      </c>
      <c r="U4" s="631"/>
      <c r="V4" s="632" t="s">
        <v>9</v>
      </c>
      <c r="W4" s="631"/>
      <c r="X4" s="630" t="s">
        <v>10</v>
      </c>
      <c r="Y4" s="631"/>
      <c r="Z4" s="630" t="s">
        <v>11</v>
      </c>
      <c r="AA4" s="631"/>
      <c r="AB4" s="630" t="s">
        <v>24</v>
      </c>
      <c r="AC4" s="631"/>
      <c r="AD4" s="632" t="s">
        <v>12</v>
      </c>
      <c r="AE4" s="631"/>
      <c r="AF4" s="123"/>
      <c r="AG4" s="76"/>
      <c r="AH4" s="76"/>
    </row>
    <row r="5" spans="1:33" ht="16.5" customHeight="1" thickBot="1" thickTop="1">
      <c r="A5" s="633"/>
      <c r="B5" s="676"/>
      <c r="C5" s="635"/>
      <c r="D5" s="663" t="s">
        <v>161</v>
      </c>
      <c r="E5" s="664"/>
      <c r="F5" s="664"/>
      <c r="G5" s="665"/>
      <c r="H5" s="634"/>
      <c r="I5" s="634"/>
      <c r="J5" s="634"/>
      <c r="K5" s="635"/>
      <c r="L5" s="346" t="s">
        <v>13</v>
      </c>
      <c r="M5" s="350" t="s">
        <v>14</v>
      </c>
      <c r="N5" s="346" t="s">
        <v>13</v>
      </c>
      <c r="O5" s="347" t="s">
        <v>14</v>
      </c>
      <c r="P5" s="348" t="s">
        <v>13</v>
      </c>
      <c r="Q5" s="350" t="s">
        <v>14</v>
      </c>
      <c r="R5" s="369" t="s">
        <v>13</v>
      </c>
      <c r="S5" s="349" t="s">
        <v>14</v>
      </c>
      <c r="T5" s="348" t="s">
        <v>13</v>
      </c>
      <c r="U5" s="350" t="s">
        <v>14</v>
      </c>
      <c r="V5" s="364" t="s">
        <v>13</v>
      </c>
      <c r="W5" s="349" t="s">
        <v>14</v>
      </c>
      <c r="X5" s="348" t="s">
        <v>13</v>
      </c>
      <c r="Y5" s="347" t="s">
        <v>14</v>
      </c>
      <c r="Z5" s="348" t="s">
        <v>13</v>
      </c>
      <c r="AA5" s="347" t="s">
        <v>14</v>
      </c>
      <c r="AB5" s="346" t="s">
        <v>13</v>
      </c>
      <c r="AC5" s="347" t="s">
        <v>14</v>
      </c>
      <c r="AD5" s="346" t="s">
        <v>13</v>
      </c>
      <c r="AE5" s="347" t="s">
        <v>14</v>
      </c>
      <c r="AF5" s="37"/>
      <c r="AG5" s="76"/>
    </row>
    <row r="6" spans="1:32" ht="19.5" customHeight="1" thickBot="1" thickTop="1">
      <c r="A6" s="393">
        <v>1</v>
      </c>
      <c r="B6" s="438">
        <f>+'[1]NOV-2011'!N5+0</f>
        <v>812</v>
      </c>
      <c r="C6" s="397">
        <v>139</v>
      </c>
      <c r="D6" s="451" t="s">
        <v>159</v>
      </c>
      <c r="E6" s="398">
        <v>35</v>
      </c>
      <c r="F6" s="397">
        <v>287</v>
      </c>
      <c r="G6" s="400">
        <f>+F6/4.25</f>
        <v>67.52941176470588</v>
      </c>
      <c r="H6" s="398">
        <v>8</v>
      </c>
      <c r="I6" s="399">
        <v>26</v>
      </c>
      <c r="J6" s="399">
        <v>2</v>
      </c>
      <c r="K6" s="401">
        <v>3</v>
      </c>
      <c r="L6" s="398">
        <v>55</v>
      </c>
      <c r="M6" s="402">
        <v>14</v>
      </c>
      <c r="N6" s="406">
        <v>22</v>
      </c>
      <c r="O6" s="397">
        <v>8</v>
      </c>
      <c r="P6" s="443" t="s">
        <v>16</v>
      </c>
      <c r="Q6" s="412" t="s">
        <v>16</v>
      </c>
      <c r="R6" s="405">
        <v>155</v>
      </c>
      <c r="S6" s="444">
        <v>394</v>
      </c>
      <c r="T6" s="398">
        <v>5</v>
      </c>
      <c r="U6" s="402">
        <v>9</v>
      </c>
      <c r="V6" s="406">
        <v>7</v>
      </c>
      <c r="W6" s="444">
        <v>4</v>
      </c>
      <c r="X6" s="407" t="s">
        <v>16</v>
      </c>
      <c r="Y6" s="397" t="s">
        <v>16</v>
      </c>
      <c r="Z6" s="406">
        <v>188</v>
      </c>
      <c r="AA6" s="408">
        <v>327</v>
      </c>
      <c r="AB6" s="406">
        <v>2</v>
      </c>
      <c r="AC6" s="397">
        <v>5</v>
      </c>
      <c r="AD6" s="440">
        <v>5</v>
      </c>
      <c r="AE6" s="404" t="s">
        <v>16</v>
      </c>
      <c r="AF6" s="37"/>
    </row>
    <row r="7" spans="1:32" ht="19.5" customHeight="1" thickBot="1" thickTop="1">
      <c r="A7" s="394">
        <v>2</v>
      </c>
      <c r="B7" s="438">
        <f>+'[1]NOV-2011'!N6+0</f>
        <v>1055</v>
      </c>
      <c r="C7" s="409">
        <v>144</v>
      </c>
      <c r="D7" s="452" t="s">
        <v>131</v>
      </c>
      <c r="E7" s="410">
        <v>35</v>
      </c>
      <c r="F7" s="409">
        <v>321</v>
      </c>
      <c r="G7" s="400">
        <f aca="true" t="shared" si="0" ref="G7:G35">+F7/4.25</f>
        <v>75.52941176470588</v>
      </c>
      <c r="H7" s="410">
        <v>10</v>
      </c>
      <c r="I7" s="411">
        <v>36</v>
      </c>
      <c r="J7" s="411">
        <v>1</v>
      </c>
      <c r="K7" s="412">
        <v>1</v>
      </c>
      <c r="L7" s="410">
        <v>66</v>
      </c>
      <c r="M7" s="413">
        <v>15</v>
      </c>
      <c r="N7" s="414">
        <v>23</v>
      </c>
      <c r="O7" s="409">
        <v>6</v>
      </c>
      <c r="P7" s="441">
        <v>1</v>
      </c>
      <c r="Q7" s="412" t="s">
        <v>16</v>
      </c>
      <c r="R7" s="414">
        <v>136</v>
      </c>
      <c r="S7" s="417">
        <v>353</v>
      </c>
      <c r="T7" s="410">
        <v>11</v>
      </c>
      <c r="U7" s="447">
        <v>22</v>
      </c>
      <c r="V7" s="414">
        <v>6</v>
      </c>
      <c r="W7" s="417">
        <v>5</v>
      </c>
      <c r="X7" s="410">
        <v>1</v>
      </c>
      <c r="Y7" s="409">
        <v>1</v>
      </c>
      <c r="Z7" s="415">
        <v>249</v>
      </c>
      <c r="AA7" s="416">
        <v>394</v>
      </c>
      <c r="AB7" s="414">
        <v>8</v>
      </c>
      <c r="AC7" s="409" t="s">
        <v>16</v>
      </c>
      <c r="AD7" s="435">
        <v>3</v>
      </c>
      <c r="AE7" s="404" t="s">
        <v>16</v>
      </c>
      <c r="AF7" s="37"/>
    </row>
    <row r="8" spans="1:33" ht="19.5" customHeight="1" thickBot="1" thickTop="1">
      <c r="A8" s="394">
        <v>3</v>
      </c>
      <c r="B8" s="438">
        <f>+'[1]NOV-2011'!N7+0</f>
        <v>1178</v>
      </c>
      <c r="C8" s="409">
        <v>158</v>
      </c>
      <c r="D8" s="452" t="s">
        <v>132</v>
      </c>
      <c r="E8" s="410">
        <v>30</v>
      </c>
      <c r="F8" s="409">
        <v>338</v>
      </c>
      <c r="G8" s="400">
        <f t="shared" si="0"/>
        <v>79.52941176470588</v>
      </c>
      <c r="H8" s="410">
        <v>7</v>
      </c>
      <c r="I8" s="411">
        <v>30</v>
      </c>
      <c r="J8" s="411">
        <v>3</v>
      </c>
      <c r="K8" s="412">
        <v>2</v>
      </c>
      <c r="L8" s="410">
        <v>71</v>
      </c>
      <c r="M8" s="413">
        <v>24</v>
      </c>
      <c r="N8" s="414">
        <v>17</v>
      </c>
      <c r="O8" s="409">
        <v>11</v>
      </c>
      <c r="P8" s="441" t="s">
        <v>16</v>
      </c>
      <c r="Q8" s="412" t="s">
        <v>16</v>
      </c>
      <c r="R8" s="415">
        <v>149</v>
      </c>
      <c r="S8" s="417">
        <v>426</v>
      </c>
      <c r="T8" s="410">
        <v>3</v>
      </c>
      <c r="U8" s="413">
        <v>26</v>
      </c>
      <c r="V8" s="414">
        <v>6</v>
      </c>
      <c r="W8" s="417">
        <v>9</v>
      </c>
      <c r="X8" s="419">
        <v>1</v>
      </c>
      <c r="Y8" s="419">
        <v>1</v>
      </c>
      <c r="Z8" s="414">
        <v>321</v>
      </c>
      <c r="AA8" s="416">
        <v>385</v>
      </c>
      <c r="AB8" s="403">
        <v>2</v>
      </c>
      <c r="AC8" s="404">
        <v>10</v>
      </c>
      <c r="AD8" s="435">
        <v>2</v>
      </c>
      <c r="AE8" s="404" t="s">
        <v>16</v>
      </c>
      <c r="AF8" s="76"/>
      <c r="AG8" s="37"/>
    </row>
    <row r="9" spans="1:33" ht="19.5" customHeight="1" thickBot="1" thickTop="1">
      <c r="A9" s="394">
        <v>4</v>
      </c>
      <c r="B9" s="438">
        <f>+'[1]NOV-2011'!N8+0</f>
        <v>930</v>
      </c>
      <c r="C9" s="409">
        <v>155</v>
      </c>
      <c r="D9" s="452" t="s">
        <v>133</v>
      </c>
      <c r="E9" s="410">
        <v>36</v>
      </c>
      <c r="F9" s="409">
        <v>342</v>
      </c>
      <c r="G9" s="400">
        <f t="shared" si="0"/>
        <v>80.47058823529412</v>
      </c>
      <c r="H9" s="410">
        <v>8</v>
      </c>
      <c r="I9" s="411">
        <v>36</v>
      </c>
      <c r="J9" s="411">
        <v>3</v>
      </c>
      <c r="K9" s="412">
        <v>1</v>
      </c>
      <c r="L9" s="410">
        <v>51</v>
      </c>
      <c r="M9" s="413">
        <v>18</v>
      </c>
      <c r="N9" s="414">
        <v>20</v>
      </c>
      <c r="O9" s="409">
        <v>10</v>
      </c>
      <c r="P9" s="441" t="s">
        <v>16</v>
      </c>
      <c r="Q9" s="412" t="s">
        <v>16</v>
      </c>
      <c r="R9" s="415">
        <v>182</v>
      </c>
      <c r="S9" s="417">
        <v>377</v>
      </c>
      <c r="T9" s="410">
        <v>6</v>
      </c>
      <c r="U9" s="413">
        <v>19</v>
      </c>
      <c r="V9" s="414">
        <v>20</v>
      </c>
      <c r="W9" s="417">
        <v>2</v>
      </c>
      <c r="X9" s="418" t="s">
        <v>16</v>
      </c>
      <c r="Y9" s="419">
        <v>4</v>
      </c>
      <c r="Z9" s="414">
        <v>153</v>
      </c>
      <c r="AA9" s="416">
        <v>274</v>
      </c>
      <c r="AB9" s="403">
        <v>2</v>
      </c>
      <c r="AC9" s="404">
        <v>1</v>
      </c>
      <c r="AD9" s="414">
        <v>2</v>
      </c>
      <c r="AE9" s="404" t="s">
        <v>16</v>
      </c>
      <c r="AG9" s="37"/>
    </row>
    <row r="10" spans="1:33" ht="19.5" customHeight="1" thickBot="1" thickTop="1">
      <c r="A10" s="394">
        <v>5</v>
      </c>
      <c r="B10" s="438">
        <f>+'[1]NOV-2011'!N9+0</f>
        <v>1096</v>
      </c>
      <c r="C10" s="409">
        <v>156</v>
      </c>
      <c r="D10" s="452">
        <v>27</v>
      </c>
      <c r="E10" s="410">
        <v>35</v>
      </c>
      <c r="F10" s="409">
        <v>334</v>
      </c>
      <c r="G10" s="400">
        <f t="shared" si="0"/>
        <v>78.58823529411765</v>
      </c>
      <c r="H10" s="410">
        <v>8</v>
      </c>
      <c r="I10" s="411">
        <v>38</v>
      </c>
      <c r="J10" s="411" t="s">
        <v>16</v>
      </c>
      <c r="K10" s="412" t="s">
        <v>16</v>
      </c>
      <c r="L10" s="410">
        <v>66</v>
      </c>
      <c r="M10" s="413">
        <v>12</v>
      </c>
      <c r="N10" s="414">
        <v>23</v>
      </c>
      <c r="O10" s="409">
        <v>4</v>
      </c>
      <c r="P10" s="441" t="s">
        <v>16</v>
      </c>
      <c r="Q10" s="412" t="s">
        <v>16</v>
      </c>
      <c r="R10" s="415">
        <v>142</v>
      </c>
      <c r="S10" s="417">
        <v>389</v>
      </c>
      <c r="T10" s="410">
        <v>5</v>
      </c>
      <c r="U10" s="413">
        <v>16</v>
      </c>
      <c r="V10" s="414">
        <v>4</v>
      </c>
      <c r="W10" s="417">
        <v>11</v>
      </c>
      <c r="X10" s="418" t="s">
        <v>16</v>
      </c>
      <c r="Y10" s="418" t="s">
        <v>16</v>
      </c>
      <c r="Z10" s="414">
        <v>223</v>
      </c>
      <c r="AA10" s="416">
        <v>283</v>
      </c>
      <c r="AB10" s="403" t="s">
        <v>16</v>
      </c>
      <c r="AC10" s="409" t="s">
        <v>16</v>
      </c>
      <c r="AD10" s="403">
        <v>5</v>
      </c>
      <c r="AE10" s="404">
        <v>1</v>
      </c>
      <c r="AG10" s="37"/>
    </row>
    <row r="11" spans="1:33" ht="19.5" customHeight="1" thickBot="1" thickTop="1">
      <c r="A11" s="395">
        <v>6</v>
      </c>
      <c r="B11" s="439">
        <f>+'[1]NOV-2011'!N10+0</f>
        <v>0</v>
      </c>
      <c r="C11" s="420">
        <v>271</v>
      </c>
      <c r="D11" s="453" t="s">
        <v>134</v>
      </c>
      <c r="E11" s="421">
        <v>11</v>
      </c>
      <c r="F11" s="420">
        <v>333</v>
      </c>
      <c r="G11" s="423">
        <f t="shared" si="0"/>
        <v>78.3529411764706</v>
      </c>
      <c r="H11" s="421" t="s">
        <v>16</v>
      </c>
      <c r="I11" s="422" t="s">
        <v>16</v>
      </c>
      <c r="J11" s="422">
        <v>3</v>
      </c>
      <c r="K11" s="424" t="s">
        <v>16</v>
      </c>
      <c r="L11" s="422">
        <v>13</v>
      </c>
      <c r="M11" s="425">
        <v>3</v>
      </c>
      <c r="N11" s="426" t="s">
        <v>16</v>
      </c>
      <c r="O11" s="420" t="s">
        <v>16</v>
      </c>
      <c r="P11" s="421" t="s">
        <v>16</v>
      </c>
      <c r="Q11" s="425" t="s">
        <v>16</v>
      </c>
      <c r="R11" s="426" t="s">
        <v>16</v>
      </c>
      <c r="S11" s="420">
        <v>115</v>
      </c>
      <c r="T11" s="421" t="s">
        <v>16</v>
      </c>
      <c r="U11" s="425" t="s">
        <v>16</v>
      </c>
      <c r="V11" s="426" t="s">
        <v>16</v>
      </c>
      <c r="W11" s="420" t="s">
        <v>16</v>
      </c>
      <c r="X11" s="421" t="s">
        <v>16</v>
      </c>
      <c r="Y11" s="420" t="s">
        <v>16</v>
      </c>
      <c r="Z11" s="421" t="s">
        <v>16</v>
      </c>
      <c r="AA11" s="425">
        <v>9</v>
      </c>
      <c r="AB11" s="426" t="s">
        <v>16</v>
      </c>
      <c r="AC11" s="420" t="s">
        <v>16</v>
      </c>
      <c r="AD11" s="426" t="s">
        <v>16</v>
      </c>
      <c r="AE11" s="420" t="s">
        <v>16</v>
      </c>
      <c r="AG11" s="37"/>
    </row>
    <row r="12" spans="1:33" ht="19.5" customHeight="1" thickBot="1" thickTop="1">
      <c r="A12" s="394">
        <v>7</v>
      </c>
      <c r="B12" s="438">
        <f>+'[1]NOV-2011'!N11+0</f>
        <v>626</v>
      </c>
      <c r="C12" s="409">
        <v>233</v>
      </c>
      <c r="D12" s="452">
        <v>28</v>
      </c>
      <c r="E12" s="410">
        <v>20</v>
      </c>
      <c r="F12" s="409">
        <v>341</v>
      </c>
      <c r="G12" s="400">
        <f t="shared" si="0"/>
        <v>80.23529411764706</v>
      </c>
      <c r="H12" s="410" t="s">
        <v>16</v>
      </c>
      <c r="I12" s="411">
        <v>7</v>
      </c>
      <c r="J12" s="411" t="s">
        <v>16</v>
      </c>
      <c r="K12" s="412" t="s">
        <v>16</v>
      </c>
      <c r="L12" s="427">
        <v>32</v>
      </c>
      <c r="M12" s="428">
        <v>6</v>
      </c>
      <c r="N12" s="414" t="s">
        <v>16</v>
      </c>
      <c r="O12" s="409" t="s">
        <v>16</v>
      </c>
      <c r="P12" s="441" t="s">
        <v>16</v>
      </c>
      <c r="Q12" s="412" t="s">
        <v>16</v>
      </c>
      <c r="R12" s="414">
        <v>36</v>
      </c>
      <c r="S12" s="417">
        <v>209</v>
      </c>
      <c r="T12" s="410">
        <v>3</v>
      </c>
      <c r="U12" s="413">
        <v>3</v>
      </c>
      <c r="V12" s="414">
        <v>8</v>
      </c>
      <c r="W12" s="417">
        <v>3</v>
      </c>
      <c r="X12" s="419">
        <v>1</v>
      </c>
      <c r="Y12" s="419" t="s">
        <v>16</v>
      </c>
      <c r="Z12" s="414">
        <v>81</v>
      </c>
      <c r="AA12" s="416">
        <v>136</v>
      </c>
      <c r="AB12" s="403" t="s">
        <v>16</v>
      </c>
      <c r="AC12" s="404" t="s">
        <v>16</v>
      </c>
      <c r="AD12" s="435">
        <v>2</v>
      </c>
      <c r="AE12" s="404" t="s">
        <v>16</v>
      </c>
      <c r="AG12" s="37"/>
    </row>
    <row r="13" spans="1:33" ht="19.5" customHeight="1" thickBot="1" thickTop="1">
      <c r="A13" s="394">
        <v>8</v>
      </c>
      <c r="B13" s="438">
        <f>+'[1]NOV-2011'!N12+0</f>
        <v>1450</v>
      </c>
      <c r="C13" s="409">
        <v>166</v>
      </c>
      <c r="D13" s="452" t="s">
        <v>135</v>
      </c>
      <c r="E13" s="410">
        <v>52</v>
      </c>
      <c r="F13" s="409">
        <v>339</v>
      </c>
      <c r="G13" s="400">
        <f t="shared" si="0"/>
        <v>79.76470588235294</v>
      </c>
      <c r="H13" s="410">
        <v>9</v>
      </c>
      <c r="I13" s="411">
        <v>40</v>
      </c>
      <c r="J13" s="411">
        <v>2</v>
      </c>
      <c r="K13" s="412" t="s">
        <v>16</v>
      </c>
      <c r="L13" s="410">
        <v>105</v>
      </c>
      <c r="M13" s="413">
        <v>15</v>
      </c>
      <c r="N13" s="414">
        <v>23</v>
      </c>
      <c r="O13" s="409">
        <v>5</v>
      </c>
      <c r="P13" s="441" t="s">
        <v>16</v>
      </c>
      <c r="Q13" s="412" t="s">
        <v>16</v>
      </c>
      <c r="R13" s="415">
        <v>249</v>
      </c>
      <c r="S13" s="417">
        <v>435</v>
      </c>
      <c r="T13" s="410">
        <v>9</v>
      </c>
      <c r="U13" s="413">
        <v>25</v>
      </c>
      <c r="V13" s="414">
        <v>8</v>
      </c>
      <c r="W13" s="417">
        <v>18</v>
      </c>
      <c r="X13" s="419">
        <v>1</v>
      </c>
      <c r="Y13" s="419">
        <v>2</v>
      </c>
      <c r="Z13" s="414">
        <v>447</v>
      </c>
      <c r="AA13" s="416">
        <v>555</v>
      </c>
      <c r="AB13" s="403">
        <v>4</v>
      </c>
      <c r="AC13" s="404">
        <v>10</v>
      </c>
      <c r="AD13" s="435">
        <v>4</v>
      </c>
      <c r="AE13" s="404" t="s">
        <v>16</v>
      </c>
      <c r="AG13" s="37"/>
    </row>
    <row r="14" spans="1:33" ht="19.5" customHeight="1" thickBot="1" thickTop="1">
      <c r="A14" s="394">
        <v>9</v>
      </c>
      <c r="B14" s="438">
        <f>+'[1]NOV-2011'!N13+0</f>
        <v>1258</v>
      </c>
      <c r="C14" s="409">
        <v>173</v>
      </c>
      <c r="D14" s="452" t="s">
        <v>136</v>
      </c>
      <c r="E14" s="410">
        <v>45</v>
      </c>
      <c r="F14" s="409">
        <v>332</v>
      </c>
      <c r="G14" s="400">
        <f t="shared" si="0"/>
        <v>78.11764705882354</v>
      </c>
      <c r="H14" s="410">
        <v>10</v>
      </c>
      <c r="I14" s="411">
        <v>37</v>
      </c>
      <c r="J14" s="411">
        <v>3</v>
      </c>
      <c r="K14" s="412" t="s">
        <v>16</v>
      </c>
      <c r="L14" s="410">
        <v>62</v>
      </c>
      <c r="M14" s="413">
        <v>17</v>
      </c>
      <c r="N14" s="414">
        <v>24</v>
      </c>
      <c r="O14" s="409">
        <v>9</v>
      </c>
      <c r="P14" s="441" t="s">
        <v>16</v>
      </c>
      <c r="Q14" s="412" t="s">
        <v>16</v>
      </c>
      <c r="R14" s="414">
        <v>201</v>
      </c>
      <c r="S14" s="417">
        <v>336</v>
      </c>
      <c r="T14" s="410">
        <v>10</v>
      </c>
      <c r="U14" s="447">
        <v>24</v>
      </c>
      <c r="V14" s="414">
        <v>25</v>
      </c>
      <c r="W14" s="417">
        <v>8</v>
      </c>
      <c r="X14" s="410" t="s">
        <v>16</v>
      </c>
      <c r="Y14" s="409">
        <v>1</v>
      </c>
      <c r="Z14" s="415">
        <v>297</v>
      </c>
      <c r="AA14" s="416">
        <v>362</v>
      </c>
      <c r="AB14" s="414">
        <v>1</v>
      </c>
      <c r="AC14" s="409">
        <v>6</v>
      </c>
      <c r="AD14" s="435">
        <v>2</v>
      </c>
      <c r="AE14" s="404" t="s">
        <v>16</v>
      </c>
      <c r="AG14" s="37"/>
    </row>
    <row r="15" spans="1:33" ht="19.5" customHeight="1" thickBot="1" thickTop="1">
      <c r="A15" s="394">
        <v>10</v>
      </c>
      <c r="B15" s="438">
        <f>+'[1]NOV-2011'!N14+0</f>
        <v>1246</v>
      </c>
      <c r="C15" s="409">
        <v>124</v>
      </c>
      <c r="D15" s="452" t="s">
        <v>137</v>
      </c>
      <c r="E15" s="410">
        <v>36</v>
      </c>
      <c r="F15" s="409">
        <v>338</v>
      </c>
      <c r="G15" s="400">
        <f t="shared" si="0"/>
        <v>79.52941176470588</v>
      </c>
      <c r="H15" s="410">
        <v>13</v>
      </c>
      <c r="I15" s="411">
        <v>37</v>
      </c>
      <c r="J15" s="411">
        <v>6</v>
      </c>
      <c r="K15" s="412">
        <v>3</v>
      </c>
      <c r="L15" s="410">
        <v>86</v>
      </c>
      <c r="M15" s="413">
        <v>20</v>
      </c>
      <c r="N15" s="414">
        <v>18</v>
      </c>
      <c r="O15" s="409">
        <v>10</v>
      </c>
      <c r="P15" s="441" t="s">
        <v>16</v>
      </c>
      <c r="Q15" s="412" t="s">
        <v>16</v>
      </c>
      <c r="R15" s="415">
        <v>191</v>
      </c>
      <c r="S15" s="417">
        <v>317</v>
      </c>
      <c r="T15" s="410">
        <v>9</v>
      </c>
      <c r="U15" s="413">
        <v>10</v>
      </c>
      <c r="V15" s="414">
        <v>7</v>
      </c>
      <c r="W15" s="417">
        <v>2</v>
      </c>
      <c r="X15" s="419">
        <v>2</v>
      </c>
      <c r="Y15" s="419" t="s">
        <v>16</v>
      </c>
      <c r="Z15" s="414">
        <v>320</v>
      </c>
      <c r="AA15" s="416">
        <v>313</v>
      </c>
      <c r="AB15" s="403">
        <v>4</v>
      </c>
      <c r="AC15" s="404" t="s">
        <v>16</v>
      </c>
      <c r="AD15" s="435">
        <v>3</v>
      </c>
      <c r="AE15" s="404" t="s">
        <v>16</v>
      </c>
      <c r="AG15" s="37"/>
    </row>
    <row r="16" spans="1:33" ht="19.5" customHeight="1" thickBot="1" thickTop="1">
      <c r="A16" s="394">
        <v>11</v>
      </c>
      <c r="B16" s="438">
        <f>+'[1]NOV-2011'!N15+0</f>
        <v>1037</v>
      </c>
      <c r="C16" s="409">
        <v>183</v>
      </c>
      <c r="D16" s="452" t="s">
        <v>138</v>
      </c>
      <c r="E16" s="410">
        <v>40</v>
      </c>
      <c r="F16" s="409">
        <v>342</v>
      </c>
      <c r="G16" s="400">
        <f t="shared" si="0"/>
        <v>80.47058823529412</v>
      </c>
      <c r="H16" s="410">
        <v>3</v>
      </c>
      <c r="I16" s="411">
        <v>48</v>
      </c>
      <c r="J16" s="411">
        <v>4</v>
      </c>
      <c r="K16" s="412" t="s">
        <v>16</v>
      </c>
      <c r="L16" s="410">
        <v>57</v>
      </c>
      <c r="M16" s="413">
        <v>20</v>
      </c>
      <c r="N16" s="414">
        <v>20</v>
      </c>
      <c r="O16" s="409">
        <v>15</v>
      </c>
      <c r="P16" s="441">
        <v>1</v>
      </c>
      <c r="Q16" s="412" t="s">
        <v>16</v>
      </c>
      <c r="R16" s="415">
        <v>173</v>
      </c>
      <c r="S16" s="417">
        <v>382</v>
      </c>
      <c r="T16" s="410">
        <v>4</v>
      </c>
      <c r="U16" s="413">
        <v>16</v>
      </c>
      <c r="V16" s="414">
        <v>14</v>
      </c>
      <c r="W16" s="417">
        <v>4</v>
      </c>
      <c r="X16" s="419">
        <v>3</v>
      </c>
      <c r="Y16" s="418" t="s">
        <v>16</v>
      </c>
      <c r="Z16" s="414">
        <v>305</v>
      </c>
      <c r="AA16" s="416">
        <v>474</v>
      </c>
      <c r="AB16" s="403">
        <v>2</v>
      </c>
      <c r="AC16" s="404">
        <v>6</v>
      </c>
      <c r="AD16" s="435" t="s">
        <v>16</v>
      </c>
      <c r="AE16" s="404" t="s">
        <v>16</v>
      </c>
      <c r="AG16" s="37"/>
    </row>
    <row r="17" spans="1:33" ht="19.5" customHeight="1" thickBot="1" thickTop="1">
      <c r="A17" s="394">
        <v>12</v>
      </c>
      <c r="B17" s="438">
        <f>+'[1]NOV-2011'!N16+0</f>
        <v>1359</v>
      </c>
      <c r="C17" s="409">
        <v>161</v>
      </c>
      <c r="D17" s="452" t="s">
        <v>139</v>
      </c>
      <c r="E17" s="410">
        <v>37</v>
      </c>
      <c r="F17" s="409">
        <v>340</v>
      </c>
      <c r="G17" s="400">
        <f t="shared" si="0"/>
        <v>80</v>
      </c>
      <c r="H17" s="410">
        <v>5</v>
      </c>
      <c r="I17" s="411">
        <v>28</v>
      </c>
      <c r="J17" s="411">
        <v>5</v>
      </c>
      <c r="K17" s="412" t="s">
        <v>16</v>
      </c>
      <c r="L17" s="410">
        <v>69</v>
      </c>
      <c r="M17" s="413">
        <v>18</v>
      </c>
      <c r="N17" s="414">
        <v>15</v>
      </c>
      <c r="O17" s="409">
        <v>10</v>
      </c>
      <c r="P17" s="441" t="s">
        <v>16</v>
      </c>
      <c r="Q17" s="412" t="s">
        <v>16</v>
      </c>
      <c r="R17" s="415">
        <v>137</v>
      </c>
      <c r="S17" s="417">
        <v>358</v>
      </c>
      <c r="T17" s="410">
        <v>3</v>
      </c>
      <c r="U17" s="413">
        <v>17</v>
      </c>
      <c r="V17" s="414">
        <v>21</v>
      </c>
      <c r="W17" s="417">
        <v>7</v>
      </c>
      <c r="X17" s="419" t="s">
        <v>16</v>
      </c>
      <c r="Y17" s="412">
        <v>2</v>
      </c>
      <c r="Z17" s="410">
        <v>324</v>
      </c>
      <c r="AA17" s="409">
        <v>280</v>
      </c>
      <c r="AB17" s="398">
        <v>2</v>
      </c>
      <c r="AC17" s="404">
        <v>2</v>
      </c>
      <c r="AD17" s="435">
        <v>6</v>
      </c>
      <c r="AE17" s="404" t="s">
        <v>16</v>
      </c>
      <c r="AG17" s="37"/>
    </row>
    <row r="18" spans="1:35" ht="19.5" customHeight="1" thickBot="1" thickTop="1">
      <c r="A18" s="395">
        <v>13</v>
      </c>
      <c r="B18" s="439">
        <f>+'[1]NOV-2011'!N17+0</f>
        <v>0</v>
      </c>
      <c r="C18" s="420">
        <v>237</v>
      </c>
      <c r="D18" s="453" t="s">
        <v>140</v>
      </c>
      <c r="E18" s="421">
        <v>7</v>
      </c>
      <c r="F18" s="420">
        <v>342</v>
      </c>
      <c r="G18" s="423">
        <f t="shared" si="0"/>
        <v>80.47058823529412</v>
      </c>
      <c r="H18" s="421">
        <v>1</v>
      </c>
      <c r="I18" s="422" t="s">
        <v>16</v>
      </c>
      <c r="J18" s="422">
        <v>2</v>
      </c>
      <c r="K18" s="424">
        <v>1</v>
      </c>
      <c r="L18" s="422">
        <v>3</v>
      </c>
      <c r="M18" s="425">
        <v>0</v>
      </c>
      <c r="N18" s="426">
        <v>0</v>
      </c>
      <c r="O18" s="420" t="s">
        <v>16</v>
      </c>
      <c r="P18" s="421" t="s">
        <v>16</v>
      </c>
      <c r="Q18" s="425" t="s">
        <v>16</v>
      </c>
      <c r="R18" s="426" t="s">
        <v>16</v>
      </c>
      <c r="S18" s="420">
        <v>82</v>
      </c>
      <c r="T18" s="421" t="s">
        <v>16</v>
      </c>
      <c r="U18" s="425" t="s">
        <v>16</v>
      </c>
      <c r="V18" s="426" t="s">
        <v>16</v>
      </c>
      <c r="W18" s="420" t="s">
        <v>16</v>
      </c>
      <c r="X18" s="421" t="s">
        <v>16</v>
      </c>
      <c r="Y18" s="420" t="s">
        <v>16</v>
      </c>
      <c r="Z18" s="421" t="s">
        <v>16</v>
      </c>
      <c r="AA18" s="420">
        <v>36</v>
      </c>
      <c r="AB18" s="421" t="s">
        <v>16</v>
      </c>
      <c r="AC18" s="420" t="s">
        <v>16</v>
      </c>
      <c r="AD18" s="426" t="s">
        <v>16</v>
      </c>
      <c r="AE18" s="420" t="s">
        <v>16</v>
      </c>
      <c r="AG18" s="37"/>
      <c r="AI18" s="76"/>
    </row>
    <row r="19" spans="1:35" ht="19.5" customHeight="1" thickBot="1" thickTop="1">
      <c r="A19" s="394">
        <v>14</v>
      </c>
      <c r="B19" s="438">
        <f>+'[1]NOV-2011'!N18+0</f>
        <v>1479</v>
      </c>
      <c r="C19" s="409">
        <v>173</v>
      </c>
      <c r="D19" s="452" t="s">
        <v>141</v>
      </c>
      <c r="E19" s="410">
        <v>50</v>
      </c>
      <c r="F19" s="409">
        <v>337</v>
      </c>
      <c r="G19" s="400">
        <f t="shared" si="0"/>
        <v>79.29411764705883</v>
      </c>
      <c r="H19" s="410">
        <v>7</v>
      </c>
      <c r="I19" s="411">
        <v>48</v>
      </c>
      <c r="J19" s="411" t="s">
        <v>16</v>
      </c>
      <c r="K19" s="412">
        <v>1</v>
      </c>
      <c r="L19" s="410">
        <v>83</v>
      </c>
      <c r="M19" s="413">
        <v>16</v>
      </c>
      <c r="N19" s="414">
        <v>24</v>
      </c>
      <c r="O19" s="409">
        <v>6</v>
      </c>
      <c r="P19" s="441" t="s">
        <v>16</v>
      </c>
      <c r="Q19" s="412" t="s">
        <v>16</v>
      </c>
      <c r="R19" s="414">
        <v>216</v>
      </c>
      <c r="S19" s="417">
        <v>413</v>
      </c>
      <c r="T19" s="410">
        <v>4</v>
      </c>
      <c r="U19" s="413">
        <v>21</v>
      </c>
      <c r="V19" s="414">
        <v>12</v>
      </c>
      <c r="W19" s="417">
        <v>11</v>
      </c>
      <c r="X19" s="419">
        <v>1</v>
      </c>
      <c r="Y19" s="419">
        <v>1</v>
      </c>
      <c r="Z19" s="414">
        <v>184</v>
      </c>
      <c r="AA19" s="409">
        <v>416</v>
      </c>
      <c r="AB19" s="398">
        <v>2</v>
      </c>
      <c r="AC19" s="404">
        <v>3</v>
      </c>
      <c r="AD19" s="435">
        <v>4</v>
      </c>
      <c r="AE19" s="404" t="s">
        <v>16</v>
      </c>
      <c r="AG19" s="37"/>
      <c r="AI19" s="76"/>
    </row>
    <row r="20" spans="1:33" ht="19.5" customHeight="1" thickBot="1" thickTop="1">
      <c r="A20" s="394">
        <v>15</v>
      </c>
      <c r="B20" s="438">
        <f>+'[1]NOV-2011'!N19+0</f>
        <v>1417</v>
      </c>
      <c r="C20" s="409">
        <v>176</v>
      </c>
      <c r="D20" s="452" t="s">
        <v>142</v>
      </c>
      <c r="E20" s="410">
        <v>63</v>
      </c>
      <c r="F20" s="409">
        <v>326</v>
      </c>
      <c r="G20" s="400">
        <f t="shared" si="0"/>
        <v>76.70588235294117</v>
      </c>
      <c r="H20" s="410">
        <v>9</v>
      </c>
      <c r="I20" s="411">
        <v>38</v>
      </c>
      <c r="J20" s="411">
        <v>5</v>
      </c>
      <c r="K20" s="412">
        <v>3</v>
      </c>
      <c r="L20" s="410">
        <v>80</v>
      </c>
      <c r="M20" s="413">
        <v>18</v>
      </c>
      <c r="N20" s="414">
        <v>22</v>
      </c>
      <c r="O20" s="409">
        <v>11</v>
      </c>
      <c r="P20" s="441" t="s">
        <v>16</v>
      </c>
      <c r="Q20" s="412" t="s">
        <v>16</v>
      </c>
      <c r="R20" s="414">
        <v>252</v>
      </c>
      <c r="S20" s="417">
        <v>541</v>
      </c>
      <c r="T20" s="410">
        <v>8</v>
      </c>
      <c r="U20" s="413">
        <v>19</v>
      </c>
      <c r="V20" s="414">
        <v>15</v>
      </c>
      <c r="W20" s="417">
        <v>7</v>
      </c>
      <c r="X20" s="419">
        <v>1</v>
      </c>
      <c r="Y20" s="418" t="s">
        <v>16</v>
      </c>
      <c r="Z20" s="414">
        <v>542</v>
      </c>
      <c r="AA20" s="409">
        <v>425</v>
      </c>
      <c r="AB20" s="398" t="s">
        <v>16</v>
      </c>
      <c r="AC20" s="404" t="s">
        <v>16</v>
      </c>
      <c r="AD20" s="435">
        <v>2</v>
      </c>
      <c r="AE20" s="404">
        <v>1</v>
      </c>
      <c r="AG20" s="37"/>
    </row>
    <row r="21" spans="1:33" ht="19.5" customHeight="1" thickBot="1" thickTop="1">
      <c r="A21" s="394">
        <v>16</v>
      </c>
      <c r="B21" s="438">
        <f>+'[1]NOV-2011'!N20+0</f>
        <v>1377</v>
      </c>
      <c r="C21" s="409">
        <v>187</v>
      </c>
      <c r="D21" s="452" t="s">
        <v>143</v>
      </c>
      <c r="E21" s="410">
        <v>38</v>
      </c>
      <c r="F21" s="409">
        <v>312</v>
      </c>
      <c r="G21" s="400">
        <f t="shared" si="0"/>
        <v>73.41176470588235</v>
      </c>
      <c r="H21" s="410">
        <v>11</v>
      </c>
      <c r="I21" s="411">
        <v>39</v>
      </c>
      <c r="J21" s="411" t="s">
        <v>16</v>
      </c>
      <c r="K21" s="412">
        <v>1</v>
      </c>
      <c r="L21" s="410">
        <v>79</v>
      </c>
      <c r="M21" s="413">
        <v>12</v>
      </c>
      <c r="N21" s="414">
        <v>21</v>
      </c>
      <c r="O21" s="409">
        <v>6</v>
      </c>
      <c r="P21" s="441" t="s">
        <v>16</v>
      </c>
      <c r="Q21" s="412">
        <v>1</v>
      </c>
      <c r="R21" s="414">
        <v>362</v>
      </c>
      <c r="S21" s="417">
        <v>294</v>
      </c>
      <c r="T21" s="410">
        <v>7</v>
      </c>
      <c r="U21" s="447">
        <v>21</v>
      </c>
      <c r="V21" s="414">
        <v>9</v>
      </c>
      <c r="W21" s="417">
        <v>11</v>
      </c>
      <c r="X21" s="410" t="s">
        <v>16</v>
      </c>
      <c r="Y21" s="409">
        <v>2</v>
      </c>
      <c r="Z21" s="415">
        <v>416</v>
      </c>
      <c r="AA21" s="409">
        <v>254</v>
      </c>
      <c r="AB21" s="410">
        <v>3</v>
      </c>
      <c r="AC21" s="409">
        <v>7</v>
      </c>
      <c r="AD21" s="435">
        <v>3</v>
      </c>
      <c r="AE21" s="404">
        <v>1</v>
      </c>
      <c r="AG21" s="37"/>
    </row>
    <row r="22" spans="1:33" ht="19.5" customHeight="1" thickBot="1" thickTop="1">
      <c r="A22" s="394">
        <v>17</v>
      </c>
      <c r="B22" s="438">
        <f>+'[1]NOV-2011'!N21+0</f>
        <v>1213</v>
      </c>
      <c r="C22" s="409">
        <v>156</v>
      </c>
      <c r="D22" s="452" t="s">
        <v>144</v>
      </c>
      <c r="E22" s="410">
        <v>37</v>
      </c>
      <c r="F22" s="409">
        <v>298</v>
      </c>
      <c r="G22" s="400">
        <f t="shared" si="0"/>
        <v>70.11764705882354</v>
      </c>
      <c r="H22" s="410">
        <v>10</v>
      </c>
      <c r="I22" s="411">
        <v>42</v>
      </c>
      <c r="J22" s="411">
        <v>5</v>
      </c>
      <c r="K22" s="412" t="s">
        <v>16</v>
      </c>
      <c r="L22" s="410">
        <v>53</v>
      </c>
      <c r="M22" s="413">
        <v>14</v>
      </c>
      <c r="N22" s="414">
        <v>20</v>
      </c>
      <c r="O22" s="409">
        <v>4</v>
      </c>
      <c r="P22" s="441" t="s">
        <v>16</v>
      </c>
      <c r="Q22" s="412" t="s">
        <v>16</v>
      </c>
      <c r="R22" s="415">
        <v>448</v>
      </c>
      <c r="S22" s="417">
        <v>301</v>
      </c>
      <c r="T22" s="410">
        <v>10</v>
      </c>
      <c r="U22" s="413">
        <v>6</v>
      </c>
      <c r="V22" s="414">
        <v>27</v>
      </c>
      <c r="W22" s="417">
        <v>2</v>
      </c>
      <c r="X22" s="419">
        <v>1</v>
      </c>
      <c r="Y22" s="419">
        <v>1</v>
      </c>
      <c r="Z22" s="414">
        <v>464</v>
      </c>
      <c r="AA22" s="409">
        <v>182</v>
      </c>
      <c r="AB22" s="398">
        <v>2</v>
      </c>
      <c r="AC22" s="404">
        <v>9</v>
      </c>
      <c r="AD22" s="435">
        <v>4</v>
      </c>
      <c r="AE22" s="404">
        <v>1</v>
      </c>
      <c r="AG22" s="37"/>
    </row>
    <row r="23" spans="1:33" ht="19.5" customHeight="1" thickBot="1" thickTop="1">
      <c r="A23" s="394">
        <v>18</v>
      </c>
      <c r="B23" s="438">
        <f>+'[1]NOV-2011'!N22+0</f>
        <v>1050</v>
      </c>
      <c r="C23" s="409">
        <v>167</v>
      </c>
      <c r="D23" s="452" t="s">
        <v>160</v>
      </c>
      <c r="E23" s="410">
        <v>22</v>
      </c>
      <c r="F23" s="409">
        <v>301</v>
      </c>
      <c r="G23" s="400">
        <f t="shared" si="0"/>
        <v>70.82352941176471</v>
      </c>
      <c r="H23" s="410">
        <v>6</v>
      </c>
      <c r="I23" s="411">
        <v>39</v>
      </c>
      <c r="J23" s="411">
        <v>2</v>
      </c>
      <c r="K23" s="412" t="s">
        <v>16</v>
      </c>
      <c r="L23" s="410">
        <v>58</v>
      </c>
      <c r="M23" s="413">
        <v>17</v>
      </c>
      <c r="N23" s="414">
        <v>23</v>
      </c>
      <c r="O23" s="409">
        <v>4</v>
      </c>
      <c r="P23" s="441" t="s">
        <v>16</v>
      </c>
      <c r="Q23" s="412" t="s">
        <v>16</v>
      </c>
      <c r="R23" s="415">
        <v>265</v>
      </c>
      <c r="S23" s="417">
        <v>243</v>
      </c>
      <c r="T23" s="410">
        <v>6</v>
      </c>
      <c r="U23" s="413">
        <v>8</v>
      </c>
      <c r="V23" s="414">
        <v>26</v>
      </c>
      <c r="W23" s="417">
        <v>6</v>
      </c>
      <c r="X23" s="418" t="s">
        <v>16</v>
      </c>
      <c r="Y23" s="419">
        <v>4</v>
      </c>
      <c r="Z23" s="414">
        <v>444</v>
      </c>
      <c r="AA23" s="409">
        <v>287</v>
      </c>
      <c r="AB23" s="398">
        <v>1</v>
      </c>
      <c r="AC23" s="404">
        <v>3</v>
      </c>
      <c r="AD23" s="435">
        <v>2</v>
      </c>
      <c r="AE23" s="404" t="s">
        <v>16</v>
      </c>
      <c r="AG23" s="37"/>
    </row>
    <row r="24" spans="1:33" ht="19.5" customHeight="1" thickBot="1" thickTop="1">
      <c r="A24" s="394">
        <v>19</v>
      </c>
      <c r="B24" s="438">
        <f>+'[1]NOV-2011'!N23+0</f>
        <v>1286</v>
      </c>
      <c r="C24" s="409">
        <v>223</v>
      </c>
      <c r="D24" s="452" t="s">
        <v>145</v>
      </c>
      <c r="E24" s="410">
        <v>33</v>
      </c>
      <c r="F24" s="409">
        <v>300</v>
      </c>
      <c r="G24" s="400">
        <f t="shared" si="0"/>
        <v>70.58823529411765</v>
      </c>
      <c r="H24" s="410">
        <v>5</v>
      </c>
      <c r="I24" s="411">
        <v>40</v>
      </c>
      <c r="J24" s="411">
        <v>2</v>
      </c>
      <c r="K24" s="412">
        <v>2</v>
      </c>
      <c r="L24" s="410">
        <v>76</v>
      </c>
      <c r="M24" s="413">
        <v>17</v>
      </c>
      <c r="N24" s="414">
        <v>22</v>
      </c>
      <c r="O24" s="409">
        <v>6</v>
      </c>
      <c r="P24" s="441" t="s">
        <v>16</v>
      </c>
      <c r="Q24" s="412" t="s">
        <v>16</v>
      </c>
      <c r="R24" s="415">
        <v>156</v>
      </c>
      <c r="S24" s="417">
        <v>287</v>
      </c>
      <c r="T24" s="410">
        <v>6</v>
      </c>
      <c r="U24" s="413">
        <v>10</v>
      </c>
      <c r="V24" s="414">
        <v>24</v>
      </c>
      <c r="W24" s="417">
        <v>5</v>
      </c>
      <c r="X24" s="418" t="s">
        <v>16</v>
      </c>
      <c r="Y24" s="419" t="s">
        <v>16</v>
      </c>
      <c r="Z24" s="414">
        <v>287</v>
      </c>
      <c r="AA24" s="409">
        <v>158</v>
      </c>
      <c r="AB24" s="398" t="s">
        <v>16</v>
      </c>
      <c r="AC24" s="404" t="s">
        <v>16</v>
      </c>
      <c r="AD24" s="435">
        <v>4</v>
      </c>
      <c r="AE24" s="404" t="s">
        <v>16</v>
      </c>
      <c r="AG24" s="37"/>
    </row>
    <row r="25" spans="1:33" ht="19.5" customHeight="1" thickBot="1" thickTop="1">
      <c r="A25" s="395">
        <v>20</v>
      </c>
      <c r="B25" s="439">
        <f>+'[1]NOV-2011'!N24+0</f>
        <v>0</v>
      </c>
      <c r="C25" s="420">
        <v>274</v>
      </c>
      <c r="D25" s="453" t="s">
        <v>146</v>
      </c>
      <c r="E25" s="421">
        <v>11</v>
      </c>
      <c r="F25" s="420">
        <v>296</v>
      </c>
      <c r="G25" s="423">
        <f t="shared" si="0"/>
        <v>69.6470588235294</v>
      </c>
      <c r="H25" s="421" t="s">
        <v>16</v>
      </c>
      <c r="I25" s="422" t="s">
        <v>16</v>
      </c>
      <c r="J25" s="422">
        <v>5</v>
      </c>
      <c r="K25" s="424" t="s">
        <v>16</v>
      </c>
      <c r="L25" s="422">
        <v>12</v>
      </c>
      <c r="M25" s="425">
        <v>2</v>
      </c>
      <c r="N25" s="426" t="s">
        <v>16</v>
      </c>
      <c r="O25" s="420" t="s">
        <v>16</v>
      </c>
      <c r="P25" s="421" t="s">
        <v>16</v>
      </c>
      <c r="Q25" s="425" t="s">
        <v>16</v>
      </c>
      <c r="R25" s="426" t="s">
        <v>16</v>
      </c>
      <c r="S25" s="420">
        <v>63</v>
      </c>
      <c r="T25" s="421" t="s">
        <v>16</v>
      </c>
      <c r="U25" s="425" t="s">
        <v>16</v>
      </c>
      <c r="V25" s="426" t="s">
        <v>16</v>
      </c>
      <c r="W25" s="420" t="s">
        <v>16</v>
      </c>
      <c r="X25" s="421" t="s">
        <v>16</v>
      </c>
      <c r="Y25" s="420" t="s">
        <v>16</v>
      </c>
      <c r="Z25" s="421" t="s">
        <v>16</v>
      </c>
      <c r="AA25" s="420">
        <v>64</v>
      </c>
      <c r="AB25" s="421" t="s">
        <v>16</v>
      </c>
      <c r="AC25" s="420" t="s">
        <v>16</v>
      </c>
      <c r="AD25" s="426" t="s">
        <v>16</v>
      </c>
      <c r="AE25" s="420" t="s">
        <v>16</v>
      </c>
      <c r="AG25" s="37"/>
    </row>
    <row r="26" spans="1:33" ht="19.5" customHeight="1" thickBot="1" thickTop="1">
      <c r="A26" s="394">
        <v>21</v>
      </c>
      <c r="B26" s="438">
        <f>+'[1]NOV-2011'!N25+0</f>
        <v>1494</v>
      </c>
      <c r="C26" s="409">
        <v>212</v>
      </c>
      <c r="D26" s="452" t="s">
        <v>147</v>
      </c>
      <c r="E26" s="410">
        <v>54</v>
      </c>
      <c r="F26" s="409">
        <v>288</v>
      </c>
      <c r="G26" s="400">
        <f t="shared" si="0"/>
        <v>67.76470588235294</v>
      </c>
      <c r="H26" s="410">
        <v>7</v>
      </c>
      <c r="I26" s="411">
        <v>37</v>
      </c>
      <c r="J26" s="411">
        <v>3</v>
      </c>
      <c r="K26" s="412" t="s">
        <v>16</v>
      </c>
      <c r="L26" s="410">
        <v>75</v>
      </c>
      <c r="M26" s="413">
        <v>12</v>
      </c>
      <c r="N26" s="414">
        <v>25</v>
      </c>
      <c r="O26" s="409">
        <v>6</v>
      </c>
      <c r="P26" s="441" t="s">
        <v>16</v>
      </c>
      <c r="Q26" s="412" t="s">
        <v>16</v>
      </c>
      <c r="R26" s="414">
        <v>327</v>
      </c>
      <c r="S26" s="417">
        <v>385</v>
      </c>
      <c r="T26" s="410">
        <v>8</v>
      </c>
      <c r="U26" s="413">
        <v>11</v>
      </c>
      <c r="V26" s="414">
        <v>33</v>
      </c>
      <c r="W26" s="417">
        <v>5</v>
      </c>
      <c r="X26" s="418" t="s">
        <v>16</v>
      </c>
      <c r="Y26" s="419">
        <v>1</v>
      </c>
      <c r="Z26" s="414">
        <v>342</v>
      </c>
      <c r="AA26" s="409">
        <v>422</v>
      </c>
      <c r="AB26" s="398">
        <v>5</v>
      </c>
      <c r="AC26" s="404">
        <v>13</v>
      </c>
      <c r="AD26" s="435">
        <v>2</v>
      </c>
      <c r="AE26" s="404" t="s">
        <v>16</v>
      </c>
      <c r="AG26" s="37"/>
    </row>
    <row r="27" spans="1:33" ht="19.5" customHeight="1" thickBot="1" thickTop="1">
      <c r="A27" s="394">
        <v>22</v>
      </c>
      <c r="B27" s="438">
        <f>+'[1]NOV-2011'!N26+0</f>
        <v>1369</v>
      </c>
      <c r="C27" s="409">
        <v>199</v>
      </c>
      <c r="D27" s="452" t="s">
        <v>148</v>
      </c>
      <c r="E27" s="410">
        <v>25</v>
      </c>
      <c r="F27" s="409">
        <v>309</v>
      </c>
      <c r="G27" s="400">
        <f t="shared" si="0"/>
        <v>72.70588235294117</v>
      </c>
      <c r="H27" s="410">
        <v>10</v>
      </c>
      <c r="I27" s="411">
        <v>46</v>
      </c>
      <c r="J27" s="411">
        <v>3</v>
      </c>
      <c r="K27" s="412">
        <v>2</v>
      </c>
      <c r="L27" s="410">
        <v>89</v>
      </c>
      <c r="M27" s="413">
        <v>22</v>
      </c>
      <c r="N27" s="414">
        <v>25</v>
      </c>
      <c r="O27" s="409">
        <v>2</v>
      </c>
      <c r="P27" s="441" t="s">
        <v>16</v>
      </c>
      <c r="Q27" s="412" t="s">
        <v>16</v>
      </c>
      <c r="R27" s="415">
        <v>315</v>
      </c>
      <c r="S27" s="417">
        <v>350</v>
      </c>
      <c r="T27" s="410">
        <v>8</v>
      </c>
      <c r="U27" s="413">
        <v>22</v>
      </c>
      <c r="V27" s="414">
        <v>20</v>
      </c>
      <c r="W27" s="417">
        <v>5</v>
      </c>
      <c r="X27" s="419">
        <v>2</v>
      </c>
      <c r="Y27" s="419">
        <v>2</v>
      </c>
      <c r="Z27" s="414">
        <v>460</v>
      </c>
      <c r="AA27" s="409">
        <v>329</v>
      </c>
      <c r="AB27" s="398">
        <v>2</v>
      </c>
      <c r="AC27" s="404">
        <v>9</v>
      </c>
      <c r="AD27" s="435">
        <v>4</v>
      </c>
      <c r="AE27" s="404">
        <v>1</v>
      </c>
      <c r="AG27" s="37"/>
    </row>
    <row r="28" spans="1:33" ht="19.5" customHeight="1" thickBot="1" thickTop="1">
      <c r="A28" s="394">
        <v>23</v>
      </c>
      <c r="B28" s="438">
        <f>+'[1]NOV-2011'!N27+0</f>
        <v>1151</v>
      </c>
      <c r="C28" s="409">
        <v>183</v>
      </c>
      <c r="D28" s="452" t="s">
        <v>149</v>
      </c>
      <c r="E28" s="410">
        <v>25</v>
      </c>
      <c r="F28" s="409">
        <v>314</v>
      </c>
      <c r="G28" s="400">
        <f t="shared" si="0"/>
        <v>73.88235294117646</v>
      </c>
      <c r="H28" s="410">
        <v>5</v>
      </c>
      <c r="I28" s="411">
        <v>50</v>
      </c>
      <c r="J28" s="411">
        <v>3</v>
      </c>
      <c r="K28" s="412" t="s">
        <v>16</v>
      </c>
      <c r="L28" s="410">
        <v>45</v>
      </c>
      <c r="M28" s="413">
        <v>8</v>
      </c>
      <c r="N28" s="414">
        <v>21</v>
      </c>
      <c r="O28" s="409">
        <v>8</v>
      </c>
      <c r="P28" s="441" t="s">
        <v>16</v>
      </c>
      <c r="Q28" s="412" t="s">
        <v>16</v>
      </c>
      <c r="R28" s="414">
        <v>164</v>
      </c>
      <c r="S28" s="417">
        <v>380</v>
      </c>
      <c r="T28" s="410">
        <v>8</v>
      </c>
      <c r="U28" s="447">
        <v>19</v>
      </c>
      <c r="V28" s="414">
        <v>9</v>
      </c>
      <c r="W28" s="417">
        <v>7</v>
      </c>
      <c r="X28" s="410">
        <v>1</v>
      </c>
      <c r="Y28" s="409">
        <v>1</v>
      </c>
      <c r="Z28" s="441">
        <v>266</v>
      </c>
      <c r="AA28" s="409">
        <v>374</v>
      </c>
      <c r="AB28" s="410">
        <v>1</v>
      </c>
      <c r="AC28" s="409" t="s">
        <v>16</v>
      </c>
      <c r="AD28" s="435">
        <v>2</v>
      </c>
      <c r="AE28" s="404" t="s">
        <v>16</v>
      </c>
      <c r="AG28" s="37"/>
    </row>
    <row r="29" spans="1:33" ht="19.5" customHeight="1" thickBot="1" thickTop="1">
      <c r="A29" s="394">
        <v>24</v>
      </c>
      <c r="B29" s="438">
        <f>+'[1]NOV-2011'!N28+0</f>
        <v>963</v>
      </c>
      <c r="C29" s="409">
        <v>124</v>
      </c>
      <c r="D29" s="452" t="s">
        <v>136</v>
      </c>
      <c r="E29" s="410">
        <v>39</v>
      </c>
      <c r="F29" s="409">
        <v>313</v>
      </c>
      <c r="G29" s="400">
        <f t="shared" si="0"/>
        <v>73.6470588235294</v>
      </c>
      <c r="H29" s="410">
        <v>8</v>
      </c>
      <c r="I29" s="411">
        <v>36</v>
      </c>
      <c r="J29" s="411">
        <v>2</v>
      </c>
      <c r="K29" s="412">
        <v>1</v>
      </c>
      <c r="L29" s="410">
        <v>53</v>
      </c>
      <c r="M29" s="413">
        <v>14</v>
      </c>
      <c r="N29" s="414">
        <v>20</v>
      </c>
      <c r="O29" s="409">
        <v>9</v>
      </c>
      <c r="P29" s="441" t="s">
        <v>16</v>
      </c>
      <c r="Q29" s="412" t="s">
        <v>16</v>
      </c>
      <c r="R29" s="415">
        <v>159</v>
      </c>
      <c r="S29" s="417">
        <v>279</v>
      </c>
      <c r="T29" s="410">
        <v>5</v>
      </c>
      <c r="U29" s="413">
        <v>11</v>
      </c>
      <c r="V29" s="414">
        <v>16</v>
      </c>
      <c r="W29" s="417">
        <v>7</v>
      </c>
      <c r="X29" s="418" t="s">
        <v>16</v>
      </c>
      <c r="Y29" s="442" t="s">
        <v>16</v>
      </c>
      <c r="Z29" s="410">
        <v>297</v>
      </c>
      <c r="AA29" s="409">
        <v>220</v>
      </c>
      <c r="AB29" s="398">
        <v>4</v>
      </c>
      <c r="AC29" s="404">
        <v>5</v>
      </c>
      <c r="AD29" s="435">
        <v>4</v>
      </c>
      <c r="AE29" s="404" t="s">
        <v>16</v>
      </c>
      <c r="AG29" s="37"/>
    </row>
    <row r="30" spans="1:33" ht="19.5" customHeight="1" thickBot="1" thickTop="1">
      <c r="A30" s="394">
        <v>25</v>
      </c>
      <c r="B30" s="438">
        <f>+'[1]NOV-2011'!N29+0</f>
        <v>910</v>
      </c>
      <c r="C30" s="409">
        <v>125</v>
      </c>
      <c r="D30" s="452" t="s">
        <v>150</v>
      </c>
      <c r="E30" s="410">
        <v>34</v>
      </c>
      <c r="F30" s="409">
        <v>309</v>
      </c>
      <c r="G30" s="400">
        <f t="shared" si="0"/>
        <v>72.70588235294117</v>
      </c>
      <c r="H30" s="410">
        <v>5</v>
      </c>
      <c r="I30" s="411">
        <v>34</v>
      </c>
      <c r="J30" s="411">
        <v>4</v>
      </c>
      <c r="K30" s="412" t="s">
        <v>16</v>
      </c>
      <c r="L30" s="410">
        <v>44</v>
      </c>
      <c r="M30" s="413">
        <v>11</v>
      </c>
      <c r="N30" s="414">
        <v>17</v>
      </c>
      <c r="O30" s="409">
        <v>6</v>
      </c>
      <c r="P30" s="441" t="s">
        <v>16</v>
      </c>
      <c r="Q30" s="412" t="s">
        <v>16</v>
      </c>
      <c r="R30" s="415">
        <v>141</v>
      </c>
      <c r="S30" s="417">
        <v>365</v>
      </c>
      <c r="T30" s="410">
        <v>3</v>
      </c>
      <c r="U30" s="413">
        <v>11</v>
      </c>
      <c r="V30" s="414">
        <v>14</v>
      </c>
      <c r="W30" s="409">
        <v>6</v>
      </c>
      <c r="X30" s="418" t="s">
        <v>16</v>
      </c>
      <c r="Y30" s="401">
        <v>5</v>
      </c>
      <c r="Z30" s="410">
        <v>199</v>
      </c>
      <c r="AA30" s="409">
        <v>352</v>
      </c>
      <c r="AB30" s="398">
        <v>2</v>
      </c>
      <c r="AC30" s="404">
        <v>6</v>
      </c>
      <c r="AD30" s="435">
        <v>6</v>
      </c>
      <c r="AE30" s="404">
        <v>1</v>
      </c>
      <c r="AG30" s="37"/>
    </row>
    <row r="31" spans="1:32" ht="19.5" customHeight="1" thickBot="1" thickTop="1">
      <c r="A31" s="394">
        <v>26</v>
      </c>
      <c r="B31" s="438">
        <f>+'[1]NOV-2011'!N30+0</f>
        <v>1113</v>
      </c>
      <c r="C31" s="409">
        <v>189</v>
      </c>
      <c r="D31" s="452" t="s">
        <v>151</v>
      </c>
      <c r="E31" s="410">
        <v>36</v>
      </c>
      <c r="F31" s="409">
        <v>286</v>
      </c>
      <c r="G31" s="400">
        <f t="shared" si="0"/>
        <v>67.29411764705883</v>
      </c>
      <c r="H31" s="410">
        <v>6</v>
      </c>
      <c r="I31" s="411">
        <v>36</v>
      </c>
      <c r="J31" s="411">
        <v>3</v>
      </c>
      <c r="K31" s="412">
        <v>1</v>
      </c>
      <c r="L31" s="410">
        <v>56</v>
      </c>
      <c r="M31" s="413">
        <v>5</v>
      </c>
      <c r="N31" s="414">
        <v>17</v>
      </c>
      <c r="O31" s="409">
        <v>5</v>
      </c>
      <c r="P31" s="441" t="s">
        <v>16</v>
      </c>
      <c r="Q31" s="412" t="s">
        <v>16</v>
      </c>
      <c r="R31" s="429">
        <v>175</v>
      </c>
      <c r="S31" s="417">
        <v>97</v>
      </c>
      <c r="T31" s="410">
        <v>7</v>
      </c>
      <c r="U31" s="413">
        <v>10</v>
      </c>
      <c r="V31" s="414">
        <v>10</v>
      </c>
      <c r="W31" s="409">
        <v>13</v>
      </c>
      <c r="X31" s="418" t="s">
        <v>16</v>
      </c>
      <c r="Y31" s="401">
        <v>3</v>
      </c>
      <c r="Z31" s="410">
        <v>255</v>
      </c>
      <c r="AA31" s="409">
        <v>121</v>
      </c>
      <c r="AB31" s="398" t="s">
        <v>16</v>
      </c>
      <c r="AC31" s="404" t="s">
        <v>16</v>
      </c>
      <c r="AD31" s="435">
        <v>2</v>
      </c>
      <c r="AE31" s="404" t="s">
        <v>16</v>
      </c>
      <c r="AF31" s="37"/>
    </row>
    <row r="32" spans="1:32" ht="19.5" customHeight="1" thickBot="1" thickTop="1">
      <c r="A32" s="395">
        <v>27</v>
      </c>
      <c r="B32" s="439">
        <f>+'[1]NOV-2011'!N31+0</f>
        <v>0</v>
      </c>
      <c r="C32" s="420">
        <v>219</v>
      </c>
      <c r="D32" s="453" t="s">
        <v>152</v>
      </c>
      <c r="E32" s="421">
        <v>6</v>
      </c>
      <c r="F32" s="420">
        <v>285</v>
      </c>
      <c r="G32" s="423">
        <f t="shared" si="0"/>
        <v>67.05882352941177</v>
      </c>
      <c r="H32" s="421">
        <v>1</v>
      </c>
      <c r="I32" s="422" t="s">
        <v>16</v>
      </c>
      <c r="J32" s="422">
        <v>1</v>
      </c>
      <c r="K32" s="424">
        <v>1</v>
      </c>
      <c r="L32" s="422">
        <v>16</v>
      </c>
      <c r="M32" s="425">
        <v>2</v>
      </c>
      <c r="N32" s="426" t="s">
        <v>16</v>
      </c>
      <c r="O32" s="420" t="s">
        <v>16</v>
      </c>
      <c r="P32" s="421" t="s">
        <v>16</v>
      </c>
      <c r="Q32" s="425" t="s">
        <v>16</v>
      </c>
      <c r="R32" s="426" t="s">
        <v>16</v>
      </c>
      <c r="S32" s="420">
        <v>33</v>
      </c>
      <c r="T32" s="421" t="s">
        <v>16</v>
      </c>
      <c r="U32" s="425" t="s">
        <v>16</v>
      </c>
      <c r="V32" s="426" t="s">
        <v>16</v>
      </c>
      <c r="W32" s="420" t="s">
        <v>16</v>
      </c>
      <c r="X32" s="421" t="s">
        <v>16</v>
      </c>
      <c r="Y32" s="420" t="s">
        <v>16</v>
      </c>
      <c r="Z32" s="421" t="s">
        <v>16</v>
      </c>
      <c r="AA32" s="420">
        <v>18</v>
      </c>
      <c r="AB32" s="421" t="s">
        <v>16</v>
      </c>
      <c r="AC32" s="420" t="s">
        <v>16</v>
      </c>
      <c r="AD32" s="426" t="s">
        <v>16</v>
      </c>
      <c r="AE32" s="420" t="s">
        <v>16</v>
      </c>
      <c r="AF32" s="37"/>
    </row>
    <row r="33" spans="1:32" ht="19.5" customHeight="1" thickBot="1" thickTop="1">
      <c r="A33" s="394">
        <v>28</v>
      </c>
      <c r="B33" s="438">
        <f>+'[1]NOV-2011'!N32+0</f>
        <v>1351</v>
      </c>
      <c r="C33" s="430">
        <v>189</v>
      </c>
      <c r="D33" s="454" t="s">
        <v>153</v>
      </c>
      <c r="E33" s="431">
        <v>51</v>
      </c>
      <c r="F33" s="430">
        <v>265</v>
      </c>
      <c r="G33" s="400">
        <f t="shared" si="0"/>
        <v>62.35294117647059</v>
      </c>
      <c r="H33" s="431">
        <v>5</v>
      </c>
      <c r="I33" s="432">
        <v>42</v>
      </c>
      <c r="J33" s="432">
        <v>2</v>
      </c>
      <c r="K33" s="433">
        <v>1</v>
      </c>
      <c r="L33" s="431">
        <v>77</v>
      </c>
      <c r="M33" s="434">
        <v>7</v>
      </c>
      <c r="N33" s="435">
        <v>21</v>
      </c>
      <c r="O33" s="430">
        <v>9</v>
      </c>
      <c r="P33" s="441" t="s">
        <v>16</v>
      </c>
      <c r="Q33" s="412" t="s">
        <v>16</v>
      </c>
      <c r="R33" s="414">
        <v>218</v>
      </c>
      <c r="S33" s="417">
        <v>174</v>
      </c>
      <c r="T33" s="431">
        <v>9</v>
      </c>
      <c r="U33" s="434">
        <v>10</v>
      </c>
      <c r="V33" s="435">
        <v>25</v>
      </c>
      <c r="W33" s="409">
        <v>2</v>
      </c>
      <c r="X33" s="419">
        <v>3</v>
      </c>
      <c r="Y33" s="418" t="s">
        <v>16</v>
      </c>
      <c r="Z33" s="435">
        <v>489</v>
      </c>
      <c r="AA33" s="437">
        <v>194</v>
      </c>
      <c r="AB33" s="403">
        <v>5</v>
      </c>
      <c r="AC33" s="404">
        <v>7</v>
      </c>
      <c r="AD33" s="435">
        <v>6</v>
      </c>
      <c r="AE33" s="404" t="s">
        <v>16</v>
      </c>
      <c r="AF33" s="37"/>
    </row>
    <row r="34" spans="1:32" ht="19.5" customHeight="1" thickBot="1" thickTop="1">
      <c r="A34" s="394">
        <v>29</v>
      </c>
      <c r="B34" s="438">
        <f>+'[1]NOV-2011'!N33+0</f>
        <v>1318</v>
      </c>
      <c r="C34" s="409">
        <v>156</v>
      </c>
      <c r="D34" s="452" t="s">
        <v>154</v>
      </c>
      <c r="E34" s="410">
        <v>28</v>
      </c>
      <c r="F34" s="409">
        <v>313</v>
      </c>
      <c r="G34" s="400">
        <f t="shared" si="0"/>
        <v>73.6470588235294</v>
      </c>
      <c r="H34" s="410">
        <v>7</v>
      </c>
      <c r="I34" s="411">
        <v>45</v>
      </c>
      <c r="J34" s="411">
        <v>1</v>
      </c>
      <c r="K34" s="412" t="s">
        <v>16</v>
      </c>
      <c r="L34" s="410">
        <v>74</v>
      </c>
      <c r="M34" s="413">
        <v>19</v>
      </c>
      <c r="N34" s="414">
        <v>27</v>
      </c>
      <c r="O34" s="409">
        <v>2</v>
      </c>
      <c r="P34" s="441" t="s">
        <v>16</v>
      </c>
      <c r="Q34" s="412" t="s">
        <v>16</v>
      </c>
      <c r="R34" s="415">
        <v>191</v>
      </c>
      <c r="S34" s="417">
        <v>406</v>
      </c>
      <c r="T34" s="410">
        <v>5</v>
      </c>
      <c r="U34" s="413">
        <v>15</v>
      </c>
      <c r="V34" s="414">
        <v>14</v>
      </c>
      <c r="W34" s="417">
        <v>6</v>
      </c>
      <c r="X34" s="418" t="s">
        <v>16</v>
      </c>
      <c r="Y34" s="419" t="s">
        <v>16</v>
      </c>
      <c r="Z34" s="414">
        <v>337</v>
      </c>
      <c r="AA34" s="416">
        <v>335</v>
      </c>
      <c r="AB34" s="403">
        <v>1</v>
      </c>
      <c r="AC34" s="404">
        <v>7</v>
      </c>
      <c r="AD34" s="435">
        <v>2</v>
      </c>
      <c r="AE34" s="404" t="s">
        <v>16</v>
      </c>
      <c r="AF34" s="37"/>
    </row>
    <row r="35" spans="1:32" ht="19.5" customHeight="1" thickBot="1" thickTop="1">
      <c r="A35" s="394">
        <v>30</v>
      </c>
      <c r="B35" s="449">
        <f>+'[1]NOV-2011'!N34+0</f>
        <v>1031</v>
      </c>
      <c r="C35" s="450">
        <v>161</v>
      </c>
      <c r="D35" s="455" t="s">
        <v>155</v>
      </c>
      <c r="E35" s="431">
        <v>26</v>
      </c>
      <c r="F35" s="430">
        <v>307</v>
      </c>
      <c r="G35" s="400">
        <f t="shared" si="0"/>
        <v>72.23529411764706</v>
      </c>
      <c r="H35" s="410">
        <v>8</v>
      </c>
      <c r="I35" s="411">
        <v>47</v>
      </c>
      <c r="J35" s="411">
        <v>1</v>
      </c>
      <c r="K35" s="412">
        <v>2</v>
      </c>
      <c r="L35" s="431">
        <v>43</v>
      </c>
      <c r="M35" s="434">
        <v>16</v>
      </c>
      <c r="N35" s="435">
        <v>21</v>
      </c>
      <c r="O35" s="430">
        <v>5</v>
      </c>
      <c r="P35" s="441" t="s">
        <v>16</v>
      </c>
      <c r="Q35" s="412" t="s">
        <v>16</v>
      </c>
      <c r="R35" s="445">
        <v>114</v>
      </c>
      <c r="S35" s="446">
        <v>220</v>
      </c>
      <c r="T35" s="431">
        <v>7</v>
      </c>
      <c r="U35" s="434">
        <v>15</v>
      </c>
      <c r="V35" s="435">
        <v>10</v>
      </c>
      <c r="W35" s="436">
        <v>3</v>
      </c>
      <c r="X35" s="431" t="s">
        <v>16</v>
      </c>
      <c r="Y35" s="430" t="s">
        <v>16</v>
      </c>
      <c r="Z35" s="435">
        <v>305</v>
      </c>
      <c r="AA35" s="437">
        <v>372</v>
      </c>
      <c r="AB35" s="403">
        <v>4</v>
      </c>
      <c r="AC35" s="404">
        <v>5</v>
      </c>
      <c r="AD35" s="435">
        <v>2</v>
      </c>
      <c r="AE35" s="404" t="s">
        <v>16</v>
      </c>
      <c r="AF35" s="37"/>
    </row>
    <row r="36" spans="1:32" ht="19.5" customHeight="1" thickBot="1" thickTop="1">
      <c r="A36" s="351" t="s">
        <v>22</v>
      </c>
      <c r="B36" s="396">
        <f>SUM(B6:B35)</f>
        <v>30569</v>
      </c>
      <c r="C36" s="396">
        <f>SUM(C6:C35)</f>
        <v>5413</v>
      </c>
      <c r="D36" s="353" t="s">
        <v>158</v>
      </c>
      <c r="E36" s="352">
        <f>SUM(E6:E35)</f>
        <v>997</v>
      </c>
      <c r="F36" s="352">
        <f>SUM(F6:F35)</f>
        <v>9488</v>
      </c>
      <c r="G36" s="448">
        <f>SUM(G6:G35)</f>
        <v>2232.470588235294</v>
      </c>
      <c r="H36" s="308">
        <f aca="true" t="shared" si="1" ref="H36:AB36">SUM(H6:H35)</f>
        <v>192</v>
      </c>
      <c r="I36" s="353">
        <f t="shared" si="1"/>
        <v>982</v>
      </c>
      <c r="J36" s="353">
        <f t="shared" si="1"/>
        <v>76</v>
      </c>
      <c r="K36" s="308">
        <f t="shared" si="1"/>
        <v>26</v>
      </c>
      <c r="L36" s="354">
        <f t="shared" si="1"/>
        <v>1749</v>
      </c>
      <c r="M36" s="353">
        <f t="shared" si="1"/>
        <v>394</v>
      </c>
      <c r="N36" s="352">
        <f t="shared" si="1"/>
        <v>531</v>
      </c>
      <c r="O36" s="308">
        <f t="shared" si="1"/>
        <v>177</v>
      </c>
      <c r="P36" s="354">
        <f t="shared" si="1"/>
        <v>2</v>
      </c>
      <c r="Q36" s="308">
        <f t="shared" si="1"/>
        <v>1</v>
      </c>
      <c r="R36" s="355">
        <f t="shared" si="1"/>
        <v>5254</v>
      </c>
      <c r="S36" s="354">
        <f t="shared" si="1"/>
        <v>9004</v>
      </c>
      <c r="T36" s="358">
        <f t="shared" si="1"/>
        <v>169</v>
      </c>
      <c r="U36" s="356">
        <f t="shared" si="1"/>
        <v>396</v>
      </c>
      <c r="V36" s="355">
        <f t="shared" si="1"/>
        <v>390</v>
      </c>
      <c r="W36" s="354">
        <f t="shared" si="1"/>
        <v>169</v>
      </c>
      <c r="X36" s="358">
        <f t="shared" si="1"/>
        <v>18</v>
      </c>
      <c r="Y36" s="357">
        <f t="shared" si="1"/>
        <v>31</v>
      </c>
      <c r="Z36" s="355">
        <f t="shared" si="1"/>
        <v>8195</v>
      </c>
      <c r="AA36" s="354">
        <f t="shared" si="1"/>
        <v>8351</v>
      </c>
      <c r="AB36" s="354">
        <f t="shared" si="1"/>
        <v>59</v>
      </c>
      <c r="AC36" s="357">
        <f>SUM(AC6:AC35)</f>
        <v>114</v>
      </c>
      <c r="AD36" s="355">
        <f>SUM(AD6:AD35)</f>
        <v>83</v>
      </c>
      <c r="AE36" s="357">
        <f>SUM(AE6:AE35)</f>
        <v>6</v>
      </c>
      <c r="AF36" s="37"/>
    </row>
    <row r="37" spans="1:32" ht="18.75" thickTop="1">
      <c r="A37" s="361" t="s">
        <v>163</v>
      </c>
      <c r="B37" s="359"/>
      <c r="C37" s="359"/>
      <c r="D37" s="359"/>
      <c r="E37" s="359"/>
      <c r="F37" s="37"/>
      <c r="G37" s="681">
        <f>G36/30</f>
        <v>74.41568627450981</v>
      </c>
      <c r="H37" s="37"/>
      <c r="I37" s="37"/>
      <c r="J37" s="37"/>
      <c r="K37" s="123"/>
      <c r="L37" s="360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8" spans="1:32" ht="20.25">
      <c r="A38" s="677" t="s">
        <v>156</v>
      </c>
      <c r="B38" s="677"/>
      <c r="C38" s="677"/>
      <c r="D38" s="678" t="s">
        <v>157</v>
      </c>
      <c r="E38" s="678"/>
      <c r="F38" s="678"/>
      <c r="G38" s="678"/>
      <c r="H38" s="678"/>
      <c r="I38" s="679"/>
      <c r="J38" s="679"/>
      <c r="K38" s="679"/>
      <c r="L38" s="679"/>
      <c r="M38" s="679"/>
      <c r="N38" s="679"/>
      <c r="O38" s="679"/>
      <c r="P38" s="679"/>
      <c r="Q38" s="661" t="s">
        <v>92</v>
      </c>
      <c r="R38" s="661"/>
      <c r="S38" s="661"/>
      <c r="T38" s="661"/>
      <c r="U38" s="661"/>
      <c r="V38" s="661"/>
      <c r="W38" s="37"/>
      <c r="X38" s="37"/>
      <c r="Y38" s="37"/>
      <c r="Z38" s="37"/>
      <c r="AA38" s="37"/>
      <c r="AB38" s="37"/>
      <c r="AC38" s="37"/>
      <c r="AD38" s="37"/>
      <c r="AE38" s="37"/>
      <c r="AF38" s="37"/>
    </row>
    <row r="39" spans="1:32" ht="18">
      <c r="A39" s="37"/>
      <c r="B39" s="359"/>
      <c r="C39" s="359"/>
      <c r="D39" s="359"/>
      <c r="E39" s="35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61" t="s">
        <v>29</v>
      </c>
      <c r="Z39" s="37"/>
      <c r="AA39" s="37"/>
      <c r="AB39" s="37"/>
      <c r="AC39" s="37"/>
      <c r="AD39" s="37"/>
      <c r="AE39" s="37"/>
      <c r="AF39" s="37"/>
    </row>
    <row r="40" ht="12.75">
      <c r="G40" s="42"/>
    </row>
    <row r="41" ht="12.75">
      <c r="M41" s="76"/>
    </row>
    <row r="42" spans="13:14" ht="12.75">
      <c r="M42" s="76"/>
      <c r="N42" s="76"/>
    </row>
    <row r="44" spans="10:13" ht="12.75">
      <c r="J44" s="76"/>
      <c r="K44" s="76"/>
      <c r="L44" s="76"/>
      <c r="M44" s="76"/>
    </row>
    <row r="45" spans="10:13" ht="13.5" customHeight="1">
      <c r="J45" s="76"/>
      <c r="K45" s="662"/>
      <c r="L45" s="662"/>
      <c r="M45" s="662"/>
    </row>
    <row r="46" spans="10:13" ht="12.75">
      <c r="J46" s="76"/>
      <c r="K46" s="662"/>
      <c r="L46" s="662"/>
      <c r="M46" s="662"/>
    </row>
    <row r="47" spans="10:13" ht="12.75">
      <c r="J47" s="76"/>
      <c r="K47" s="76"/>
      <c r="L47" s="76"/>
      <c r="M47" s="76"/>
    </row>
    <row r="72" spans="4:7" ht="12.75">
      <c r="D72" s="363"/>
      <c r="G72" s="43"/>
    </row>
    <row r="84" ht="12.75">
      <c r="I84" s="9">
        <f>65-37</f>
        <v>28</v>
      </c>
    </row>
  </sheetData>
  <sheetProtection/>
  <mergeCells count="35">
    <mergeCell ref="K45:M46"/>
    <mergeCell ref="A38:C38"/>
    <mergeCell ref="D38:H38"/>
    <mergeCell ref="I38:P38"/>
    <mergeCell ref="Q38:V38"/>
    <mergeCell ref="Z4:AA4"/>
    <mergeCell ref="AD4:AE4"/>
    <mergeCell ref="A5:C5"/>
    <mergeCell ref="D5:G5"/>
    <mergeCell ref="H5:K5"/>
    <mergeCell ref="R3:S3"/>
    <mergeCell ref="I3:I4"/>
    <mergeCell ref="J3:J4"/>
    <mergeCell ref="K3:K4"/>
    <mergeCell ref="T3:Y3"/>
    <mergeCell ref="Z3:AE3"/>
    <mergeCell ref="L4:M4"/>
    <mergeCell ref="N4:O4"/>
    <mergeCell ref="P4:Q4"/>
    <mergeCell ref="R4:S4"/>
    <mergeCell ref="T4:U4"/>
    <mergeCell ref="V4:W4"/>
    <mergeCell ref="X4:Y4"/>
    <mergeCell ref="L3:Q3"/>
    <mergeCell ref="AB4:AC4"/>
    <mergeCell ref="A1:AE1"/>
    <mergeCell ref="A2:AE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37" right="0.1" top="0.15" bottom="0.15" header="0" footer="0"/>
  <pageSetup horizontalDpi="600" verticalDpi="600" orientation="landscape" paperSize="5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H73"/>
  <sheetViews>
    <sheetView view="pageBreakPreview" zoomScale="98" zoomScaleSheetLayoutView="98" zoomScalePageLayoutView="0" workbookViewId="0" topLeftCell="A16">
      <selection activeCell="I38" sqref="I38"/>
    </sheetView>
  </sheetViews>
  <sheetFormatPr defaultColWidth="9.140625" defaultRowHeight="12.75"/>
  <cols>
    <col min="1" max="1" width="6.57421875" style="0" customWidth="1"/>
    <col min="2" max="2" width="8.421875" style="4" customWidth="1"/>
    <col min="3" max="3" width="6.7109375" style="4" customWidth="1"/>
    <col min="4" max="4" width="6.8515625" style="4" customWidth="1"/>
    <col min="5" max="5" width="6.421875" style="4" customWidth="1"/>
    <col min="6" max="6" width="7.7109375" style="0" customWidth="1"/>
    <col min="7" max="7" width="6.7109375" style="9" customWidth="1"/>
    <col min="8" max="8" width="7.28125" style="0" customWidth="1"/>
    <col min="9" max="9" width="7.7109375" style="0" customWidth="1"/>
    <col min="10" max="10" width="8.00390625" style="0" customWidth="1"/>
    <col min="11" max="12" width="6.7109375" style="0" customWidth="1"/>
    <col min="13" max="13" width="5.8515625" style="0" customWidth="1"/>
    <col min="14" max="14" width="5.28125" style="0" customWidth="1"/>
    <col min="15" max="15" width="5.7109375" style="0" customWidth="1"/>
    <col min="16" max="16" width="4.8515625" style="0" customWidth="1"/>
    <col min="17" max="17" width="5.421875" style="0" customWidth="1"/>
    <col min="18" max="18" width="8.28125" style="0" customWidth="1"/>
    <col min="19" max="19" width="9.28125" style="0" customWidth="1"/>
    <col min="20" max="20" width="5.7109375" style="0" customWidth="1"/>
    <col min="21" max="21" width="5.8515625" style="0" customWidth="1"/>
    <col min="22" max="22" width="5.57421875" style="0" customWidth="1"/>
    <col min="23" max="23" width="5.421875" style="0" customWidth="1"/>
    <col min="24" max="24" width="4.7109375" style="0" customWidth="1"/>
    <col min="25" max="25" width="6.28125" style="0" customWidth="1"/>
    <col min="26" max="26" width="7.140625" style="0" customWidth="1"/>
    <col min="27" max="27" width="6.421875" style="0" customWidth="1"/>
    <col min="28" max="31" width="4.7109375" style="0" customWidth="1"/>
    <col min="32" max="16384" width="9.140625" style="9" customWidth="1"/>
  </cols>
  <sheetData>
    <row r="1" spans="1:31" ht="12" customHeight="1">
      <c r="A1" s="460" t="s">
        <v>28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</row>
    <row r="2" spans="1:32" ht="17.25" customHeight="1" thickBot="1">
      <c r="A2" s="461" t="s">
        <v>33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37"/>
    </row>
    <row r="3" spans="1:34" ht="12" customHeight="1" thickTop="1">
      <c r="A3" s="512" t="s">
        <v>23</v>
      </c>
      <c r="B3" s="514" t="s">
        <v>0</v>
      </c>
      <c r="C3" s="514" t="s">
        <v>1</v>
      </c>
      <c r="D3" s="515" t="s">
        <v>20</v>
      </c>
      <c r="E3" s="514" t="s">
        <v>21</v>
      </c>
      <c r="F3" s="518" t="s">
        <v>19</v>
      </c>
      <c r="G3" s="519" t="s">
        <v>2</v>
      </c>
      <c r="H3" s="505" t="s">
        <v>3</v>
      </c>
      <c r="I3" s="504" t="s">
        <v>4</v>
      </c>
      <c r="J3" s="46"/>
      <c r="K3" s="505" t="s">
        <v>5</v>
      </c>
      <c r="L3" s="506" t="s">
        <v>17</v>
      </c>
      <c r="M3" s="506"/>
      <c r="N3" s="506"/>
      <c r="O3" s="506"/>
      <c r="P3" s="506"/>
      <c r="Q3" s="507"/>
      <c r="R3" s="508" t="s">
        <v>38</v>
      </c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10"/>
      <c r="AF3" s="75"/>
      <c r="AG3" s="76"/>
      <c r="AH3" s="76"/>
    </row>
    <row r="4" spans="1:34" ht="92.25" customHeight="1" thickBot="1">
      <c r="A4" s="513"/>
      <c r="B4" s="464"/>
      <c r="C4" s="464"/>
      <c r="D4" s="516"/>
      <c r="E4" s="517"/>
      <c r="F4" s="499"/>
      <c r="G4" s="520"/>
      <c r="H4" s="501"/>
      <c r="I4" s="499"/>
      <c r="J4" s="47" t="s">
        <v>26</v>
      </c>
      <c r="K4" s="499"/>
      <c r="L4" s="499" t="s">
        <v>6</v>
      </c>
      <c r="M4" s="499"/>
      <c r="N4" s="499" t="s">
        <v>15</v>
      </c>
      <c r="O4" s="499"/>
      <c r="P4" s="499" t="s">
        <v>7</v>
      </c>
      <c r="Q4" s="511"/>
      <c r="R4" s="500" t="s">
        <v>25</v>
      </c>
      <c r="S4" s="501"/>
      <c r="T4" s="499" t="s">
        <v>34</v>
      </c>
      <c r="U4" s="499"/>
      <c r="V4" s="499" t="s">
        <v>9</v>
      </c>
      <c r="W4" s="499"/>
      <c r="X4" s="499" t="s">
        <v>10</v>
      </c>
      <c r="Y4" s="499"/>
      <c r="Z4" s="499" t="s">
        <v>11</v>
      </c>
      <c r="AA4" s="499"/>
      <c r="AB4" s="502" t="s">
        <v>24</v>
      </c>
      <c r="AC4" s="502"/>
      <c r="AD4" s="499" t="s">
        <v>12</v>
      </c>
      <c r="AE4" s="503"/>
      <c r="AF4" s="75"/>
      <c r="AG4" s="76"/>
      <c r="AH4" s="76"/>
    </row>
    <row r="5" spans="1:33" ht="16.5" customHeight="1" thickTop="1">
      <c r="A5" s="492"/>
      <c r="B5" s="484"/>
      <c r="C5" s="485"/>
      <c r="D5" s="493" t="s">
        <v>37</v>
      </c>
      <c r="E5" s="494"/>
      <c r="F5" s="494"/>
      <c r="G5" s="495"/>
      <c r="H5" s="496"/>
      <c r="I5" s="497"/>
      <c r="J5" s="497"/>
      <c r="K5" s="498"/>
      <c r="L5" s="45" t="s">
        <v>13</v>
      </c>
      <c r="M5" s="45" t="s">
        <v>14</v>
      </c>
      <c r="N5" s="45" t="s">
        <v>13</v>
      </c>
      <c r="O5" s="45" t="s">
        <v>14</v>
      </c>
      <c r="P5" s="45" t="s">
        <v>13</v>
      </c>
      <c r="Q5" s="74" t="s">
        <v>14</v>
      </c>
      <c r="R5" s="126" t="s">
        <v>13</v>
      </c>
      <c r="S5" s="74" t="s">
        <v>14</v>
      </c>
      <c r="T5" s="125" t="s">
        <v>13</v>
      </c>
      <c r="U5" s="73" t="s">
        <v>14</v>
      </c>
      <c r="V5" s="73" t="s">
        <v>13</v>
      </c>
      <c r="W5" s="73" t="s">
        <v>14</v>
      </c>
      <c r="X5" s="73" t="s">
        <v>13</v>
      </c>
      <c r="Y5" s="74" t="s">
        <v>14</v>
      </c>
      <c r="Z5" s="125" t="s">
        <v>13</v>
      </c>
      <c r="AA5" s="73" t="s">
        <v>14</v>
      </c>
      <c r="AB5" s="73" t="s">
        <v>13</v>
      </c>
      <c r="AC5" s="73" t="s">
        <v>14</v>
      </c>
      <c r="AD5" s="73" t="s">
        <v>13</v>
      </c>
      <c r="AE5" s="74" t="s">
        <v>14</v>
      </c>
      <c r="AF5" s="37"/>
      <c r="AG5" s="76"/>
    </row>
    <row r="6" spans="1:32" ht="15" customHeight="1">
      <c r="A6" s="70">
        <v>1</v>
      </c>
      <c r="B6" s="24">
        <v>1037</v>
      </c>
      <c r="C6" s="14">
        <v>123</v>
      </c>
      <c r="D6" s="34">
        <v>57</v>
      </c>
      <c r="E6" s="7">
        <v>29</v>
      </c>
      <c r="F6" s="34">
        <f>184+57-29</f>
        <v>212</v>
      </c>
      <c r="G6" s="35">
        <f>+F6/4.25</f>
        <v>49.88235294117647</v>
      </c>
      <c r="H6" s="15">
        <v>4</v>
      </c>
      <c r="I6" s="7">
        <v>2</v>
      </c>
      <c r="J6" s="7">
        <v>1</v>
      </c>
      <c r="K6" s="17">
        <v>1</v>
      </c>
      <c r="L6" s="7">
        <v>51</v>
      </c>
      <c r="M6" s="7">
        <v>10</v>
      </c>
      <c r="N6" s="7">
        <v>15</v>
      </c>
      <c r="O6" s="7">
        <v>9</v>
      </c>
      <c r="P6" s="18" t="s">
        <v>16</v>
      </c>
      <c r="Q6" s="90" t="s">
        <v>27</v>
      </c>
      <c r="R6" s="88">
        <v>116</v>
      </c>
      <c r="S6" s="48">
        <v>308</v>
      </c>
      <c r="T6" s="15">
        <v>5</v>
      </c>
      <c r="U6" s="7">
        <v>7</v>
      </c>
      <c r="V6" s="7">
        <v>1</v>
      </c>
      <c r="W6" s="7">
        <v>8</v>
      </c>
      <c r="X6" s="7">
        <v>1</v>
      </c>
      <c r="Y6" s="48" t="s">
        <v>16</v>
      </c>
      <c r="Z6" s="15">
        <v>125</v>
      </c>
      <c r="AA6" s="7">
        <v>282</v>
      </c>
      <c r="AB6" s="7" t="s">
        <v>16</v>
      </c>
      <c r="AC6" s="7" t="s">
        <v>16</v>
      </c>
      <c r="AD6" s="7">
        <v>1</v>
      </c>
      <c r="AE6" s="48">
        <v>1</v>
      </c>
      <c r="AF6" s="37"/>
    </row>
    <row r="7" spans="1:32" ht="15" customHeight="1">
      <c r="A7" s="70">
        <v>2</v>
      </c>
      <c r="B7" s="24">
        <v>857</v>
      </c>
      <c r="C7" s="14">
        <v>164</v>
      </c>
      <c r="D7" s="34">
        <v>50</v>
      </c>
      <c r="E7" s="7">
        <v>37</v>
      </c>
      <c r="F7" s="34">
        <v>225</v>
      </c>
      <c r="G7" s="35">
        <f aca="true" t="shared" si="0" ref="G7:G33">+F7/4.25</f>
        <v>52.94117647058823</v>
      </c>
      <c r="H7" s="15">
        <v>6</v>
      </c>
      <c r="I7" s="7">
        <f>10+1</f>
        <v>11</v>
      </c>
      <c r="J7" s="7">
        <v>2</v>
      </c>
      <c r="K7" s="17" t="s">
        <v>16</v>
      </c>
      <c r="L7" s="7">
        <v>56</v>
      </c>
      <c r="M7" s="7">
        <v>21</v>
      </c>
      <c r="N7" s="7">
        <v>23</v>
      </c>
      <c r="O7" s="7">
        <v>4</v>
      </c>
      <c r="P7" s="18" t="s">
        <v>16</v>
      </c>
      <c r="Q7" s="90" t="s">
        <v>16</v>
      </c>
      <c r="R7" s="88">
        <v>136</v>
      </c>
      <c r="S7" s="48">
        <v>354</v>
      </c>
      <c r="T7" s="15">
        <v>1</v>
      </c>
      <c r="U7" s="7">
        <v>10</v>
      </c>
      <c r="V7" s="7">
        <v>16</v>
      </c>
      <c r="W7" s="7">
        <v>7</v>
      </c>
      <c r="X7" s="7" t="s">
        <v>16</v>
      </c>
      <c r="Y7" s="48">
        <v>2</v>
      </c>
      <c r="Z7" s="15">
        <v>118</v>
      </c>
      <c r="AA7" s="7">
        <v>228</v>
      </c>
      <c r="AB7" s="7">
        <v>2</v>
      </c>
      <c r="AC7" s="7">
        <v>4</v>
      </c>
      <c r="AD7" s="7">
        <v>2</v>
      </c>
      <c r="AE7" s="48" t="s">
        <v>16</v>
      </c>
      <c r="AF7" s="37"/>
    </row>
    <row r="8" spans="1:32" ht="15" customHeight="1">
      <c r="A8" s="70">
        <v>3</v>
      </c>
      <c r="B8" s="24">
        <v>1027</v>
      </c>
      <c r="C8" s="14">
        <v>139</v>
      </c>
      <c r="D8" s="34">
        <v>40</v>
      </c>
      <c r="E8" s="7">
        <v>25</v>
      </c>
      <c r="F8" s="34">
        <v>240</v>
      </c>
      <c r="G8" s="35">
        <f t="shared" si="0"/>
        <v>56.470588235294116</v>
      </c>
      <c r="H8" s="15">
        <v>13</v>
      </c>
      <c r="I8" s="7">
        <f>2+1</f>
        <v>3</v>
      </c>
      <c r="J8" s="7" t="s">
        <v>16</v>
      </c>
      <c r="K8" s="17">
        <v>1</v>
      </c>
      <c r="L8" s="7">
        <v>54</v>
      </c>
      <c r="M8" s="7">
        <v>13</v>
      </c>
      <c r="N8" s="7">
        <v>14</v>
      </c>
      <c r="O8" s="7">
        <v>7</v>
      </c>
      <c r="P8" s="18" t="s">
        <v>16</v>
      </c>
      <c r="Q8" s="90" t="s">
        <v>16</v>
      </c>
      <c r="R8" s="88">
        <v>121</v>
      </c>
      <c r="S8" s="48">
        <v>261</v>
      </c>
      <c r="T8" s="15">
        <v>2</v>
      </c>
      <c r="U8" s="7">
        <v>9</v>
      </c>
      <c r="V8" s="7">
        <v>7</v>
      </c>
      <c r="W8" s="7">
        <v>7</v>
      </c>
      <c r="X8" s="7" t="s">
        <v>16</v>
      </c>
      <c r="Y8" s="48">
        <v>3</v>
      </c>
      <c r="Z8" s="15">
        <v>151</v>
      </c>
      <c r="AA8" s="7">
        <v>207</v>
      </c>
      <c r="AB8" s="7" t="s">
        <v>16</v>
      </c>
      <c r="AC8" s="7" t="s">
        <v>16</v>
      </c>
      <c r="AD8" s="7">
        <v>1</v>
      </c>
      <c r="AE8" s="48" t="s">
        <v>16</v>
      </c>
      <c r="AF8" s="37"/>
    </row>
    <row r="9" spans="1:32" ht="15" customHeight="1">
      <c r="A9" s="70">
        <v>4</v>
      </c>
      <c r="B9" s="24">
        <v>738</v>
      </c>
      <c r="C9" s="14">
        <v>140</v>
      </c>
      <c r="D9" s="34">
        <v>45</v>
      </c>
      <c r="E9" s="7">
        <v>37</v>
      </c>
      <c r="F9" s="34">
        <v>248</v>
      </c>
      <c r="G9" s="35">
        <f t="shared" si="0"/>
        <v>58.35294117647059</v>
      </c>
      <c r="H9" s="15">
        <v>6</v>
      </c>
      <c r="I9" s="7">
        <f>1+1</f>
        <v>2</v>
      </c>
      <c r="J9" s="7">
        <v>3</v>
      </c>
      <c r="K9" s="17" t="s">
        <v>16</v>
      </c>
      <c r="L9" s="7">
        <v>65</v>
      </c>
      <c r="M9" s="7">
        <v>12</v>
      </c>
      <c r="N9" s="7">
        <v>14</v>
      </c>
      <c r="O9" s="7">
        <v>7</v>
      </c>
      <c r="P9" s="18" t="s">
        <v>16</v>
      </c>
      <c r="Q9" s="90" t="s">
        <v>27</v>
      </c>
      <c r="R9" s="88">
        <v>112</v>
      </c>
      <c r="S9" s="48">
        <v>268</v>
      </c>
      <c r="T9" s="15">
        <v>4</v>
      </c>
      <c r="U9" s="7">
        <v>4</v>
      </c>
      <c r="V9" s="7">
        <v>3</v>
      </c>
      <c r="W9" s="7">
        <v>2</v>
      </c>
      <c r="X9" s="7" t="s">
        <v>16</v>
      </c>
      <c r="Y9" s="48" t="s">
        <v>16</v>
      </c>
      <c r="Z9" s="15">
        <v>125</v>
      </c>
      <c r="AA9" s="7">
        <v>209</v>
      </c>
      <c r="AB9" s="7" t="s">
        <v>16</v>
      </c>
      <c r="AC9" s="7" t="s">
        <v>16</v>
      </c>
      <c r="AD9" s="7" t="s">
        <v>16</v>
      </c>
      <c r="AE9" s="48">
        <v>1</v>
      </c>
      <c r="AF9" s="37"/>
    </row>
    <row r="10" spans="1:32" ht="15" customHeight="1">
      <c r="A10" s="70">
        <v>5</v>
      </c>
      <c r="B10" s="24">
        <v>1059</v>
      </c>
      <c r="C10" s="14">
        <v>168</v>
      </c>
      <c r="D10" s="34">
        <v>32</v>
      </c>
      <c r="E10" s="7">
        <v>34</v>
      </c>
      <c r="F10" s="34">
        <v>246</v>
      </c>
      <c r="G10" s="35">
        <f t="shared" si="0"/>
        <v>57.88235294117647</v>
      </c>
      <c r="H10" s="15">
        <v>7</v>
      </c>
      <c r="I10" s="7">
        <v>1</v>
      </c>
      <c r="J10" s="7">
        <v>1</v>
      </c>
      <c r="K10" s="17" t="s">
        <v>16</v>
      </c>
      <c r="L10" s="7">
        <v>62</v>
      </c>
      <c r="M10" s="7">
        <v>14</v>
      </c>
      <c r="N10" s="7">
        <v>11</v>
      </c>
      <c r="O10" s="7">
        <v>7</v>
      </c>
      <c r="P10" s="18" t="s">
        <v>16</v>
      </c>
      <c r="Q10" s="90" t="s">
        <v>16</v>
      </c>
      <c r="R10" s="88">
        <v>123</v>
      </c>
      <c r="S10" s="48">
        <v>301</v>
      </c>
      <c r="T10" s="15">
        <v>1</v>
      </c>
      <c r="U10" s="7">
        <v>17</v>
      </c>
      <c r="V10" s="7">
        <v>9</v>
      </c>
      <c r="W10" s="7">
        <v>10</v>
      </c>
      <c r="X10" s="7" t="s">
        <v>16</v>
      </c>
      <c r="Y10" s="48">
        <v>1</v>
      </c>
      <c r="Z10" s="15">
        <v>147</v>
      </c>
      <c r="AA10" s="7">
        <v>238</v>
      </c>
      <c r="AB10" s="7" t="s">
        <v>16</v>
      </c>
      <c r="AC10" s="7" t="s">
        <v>16</v>
      </c>
      <c r="AD10" s="7">
        <v>3</v>
      </c>
      <c r="AE10" s="48" t="s">
        <v>16</v>
      </c>
      <c r="AF10" s="37"/>
    </row>
    <row r="11" spans="1:32" ht="15" customHeight="1">
      <c r="A11" s="71">
        <v>6</v>
      </c>
      <c r="B11" s="25" t="s">
        <v>16</v>
      </c>
      <c r="C11" s="26">
        <v>180</v>
      </c>
      <c r="D11" s="27">
        <v>9</v>
      </c>
      <c r="E11" s="6">
        <v>8</v>
      </c>
      <c r="F11" s="27">
        <v>247</v>
      </c>
      <c r="G11" s="28">
        <f t="shared" si="0"/>
        <v>58.11764705882353</v>
      </c>
      <c r="H11" s="29">
        <v>1</v>
      </c>
      <c r="I11" s="6" t="s">
        <v>16</v>
      </c>
      <c r="J11" s="6" t="s">
        <v>16</v>
      </c>
      <c r="K11" s="31">
        <v>1</v>
      </c>
      <c r="L11" s="6">
        <v>8</v>
      </c>
      <c r="M11" s="6">
        <v>3</v>
      </c>
      <c r="N11" s="6" t="s">
        <v>16</v>
      </c>
      <c r="O11" s="6" t="s">
        <v>16</v>
      </c>
      <c r="P11" s="30" t="s">
        <v>16</v>
      </c>
      <c r="Q11" s="91" t="s">
        <v>16</v>
      </c>
      <c r="R11" s="89">
        <v>0</v>
      </c>
      <c r="S11" s="49">
        <v>56</v>
      </c>
      <c r="T11" s="29" t="s">
        <v>16</v>
      </c>
      <c r="U11" s="6" t="s">
        <v>16</v>
      </c>
      <c r="V11" s="6" t="s">
        <v>16</v>
      </c>
      <c r="W11" s="6" t="s">
        <v>16</v>
      </c>
      <c r="X11" s="6" t="s">
        <v>16</v>
      </c>
      <c r="Y11" s="49" t="s">
        <v>16</v>
      </c>
      <c r="Z11" s="29" t="s">
        <v>16</v>
      </c>
      <c r="AA11" s="6">
        <v>9</v>
      </c>
      <c r="AB11" s="6" t="s">
        <v>16</v>
      </c>
      <c r="AC11" s="6" t="s">
        <v>16</v>
      </c>
      <c r="AD11" s="6" t="s">
        <v>16</v>
      </c>
      <c r="AE11" s="49" t="s">
        <v>16</v>
      </c>
      <c r="AF11" s="37"/>
    </row>
    <row r="12" spans="1:32" ht="15" customHeight="1">
      <c r="A12" s="70">
        <v>7</v>
      </c>
      <c r="B12" s="24">
        <v>1063</v>
      </c>
      <c r="C12" s="14">
        <v>156</v>
      </c>
      <c r="D12" s="34">
        <v>56</v>
      </c>
      <c r="E12" s="7">
        <v>60</v>
      </c>
      <c r="F12" s="34">
        <v>243</v>
      </c>
      <c r="G12" s="35">
        <f t="shared" si="0"/>
        <v>57.1764705882353</v>
      </c>
      <c r="H12" s="15">
        <v>4</v>
      </c>
      <c r="I12" s="7">
        <f>2+1</f>
        <v>3</v>
      </c>
      <c r="J12" s="7">
        <v>4</v>
      </c>
      <c r="K12" s="17">
        <v>1</v>
      </c>
      <c r="L12" s="44">
        <v>74</v>
      </c>
      <c r="M12" s="44">
        <v>20</v>
      </c>
      <c r="N12" s="7">
        <v>14</v>
      </c>
      <c r="O12" s="7">
        <v>7</v>
      </c>
      <c r="P12" s="18" t="s">
        <v>16</v>
      </c>
      <c r="Q12" s="90" t="s">
        <v>16</v>
      </c>
      <c r="R12" s="88">
        <v>110</v>
      </c>
      <c r="S12" s="48">
        <v>206</v>
      </c>
      <c r="T12" s="15">
        <v>4</v>
      </c>
      <c r="U12" s="7">
        <v>7</v>
      </c>
      <c r="V12" s="7">
        <v>6</v>
      </c>
      <c r="W12" s="7">
        <v>12</v>
      </c>
      <c r="X12" s="7" t="s">
        <v>16</v>
      </c>
      <c r="Y12" s="48">
        <v>2</v>
      </c>
      <c r="Z12" s="15">
        <v>192</v>
      </c>
      <c r="AA12" s="7">
        <v>195</v>
      </c>
      <c r="AB12" s="7" t="s">
        <v>16</v>
      </c>
      <c r="AC12" s="7">
        <v>9</v>
      </c>
      <c r="AD12" s="7">
        <v>2</v>
      </c>
      <c r="AE12" s="48">
        <v>2</v>
      </c>
      <c r="AF12" s="37"/>
    </row>
    <row r="13" spans="1:32" ht="15" customHeight="1">
      <c r="A13" s="70">
        <v>8</v>
      </c>
      <c r="B13" s="24">
        <v>1013</v>
      </c>
      <c r="C13" s="14">
        <v>174</v>
      </c>
      <c r="D13" s="34">
        <v>54</v>
      </c>
      <c r="E13" s="7">
        <v>26</v>
      </c>
      <c r="F13" s="34">
        <f>243+28</f>
        <v>271</v>
      </c>
      <c r="G13" s="35">
        <f t="shared" si="0"/>
        <v>63.76470588235294</v>
      </c>
      <c r="H13" s="15">
        <v>11</v>
      </c>
      <c r="I13" s="7">
        <f>3+2</f>
        <v>5</v>
      </c>
      <c r="J13" s="7">
        <v>1</v>
      </c>
      <c r="K13" s="17" t="s">
        <v>16</v>
      </c>
      <c r="L13" s="7">
        <v>59</v>
      </c>
      <c r="M13" s="7">
        <v>15</v>
      </c>
      <c r="N13" s="7">
        <v>15</v>
      </c>
      <c r="O13" s="7">
        <v>7</v>
      </c>
      <c r="P13" s="18" t="s">
        <v>16</v>
      </c>
      <c r="Q13" s="90" t="s">
        <v>16</v>
      </c>
      <c r="R13" s="88">
        <v>109</v>
      </c>
      <c r="S13" s="48">
        <v>288</v>
      </c>
      <c r="T13" s="15">
        <v>3</v>
      </c>
      <c r="U13" s="7">
        <v>10</v>
      </c>
      <c r="V13" s="7">
        <v>5</v>
      </c>
      <c r="W13" s="7">
        <v>3</v>
      </c>
      <c r="X13" s="7" t="s">
        <v>16</v>
      </c>
      <c r="Y13" s="48" t="s">
        <v>16</v>
      </c>
      <c r="Z13" s="15">
        <v>87</v>
      </c>
      <c r="AA13" s="7">
        <v>249</v>
      </c>
      <c r="AB13" s="7">
        <v>2</v>
      </c>
      <c r="AC13" s="7">
        <v>3</v>
      </c>
      <c r="AD13" s="7">
        <v>3</v>
      </c>
      <c r="AE13" s="48" t="s">
        <v>16</v>
      </c>
      <c r="AF13" s="37"/>
    </row>
    <row r="14" spans="1:32" ht="15" customHeight="1">
      <c r="A14" s="70">
        <v>9</v>
      </c>
      <c r="B14" s="24">
        <v>965</v>
      </c>
      <c r="C14" s="14">
        <v>138</v>
      </c>
      <c r="D14" s="34">
        <v>44</v>
      </c>
      <c r="E14" s="7">
        <v>49</v>
      </c>
      <c r="F14" s="34">
        <v>266</v>
      </c>
      <c r="G14" s="35">
        <f t="shared" si="0"/>
        <v>62.588235294117645</v>
      </c>
      <c r="H14" s="15">
        <v>6</v>
      </c>
      <c r="I14" s="7">
        <v>6</v>
      </c>
      <c r="J14" s="7">
        <v>4</v>
      </c>
      <c r="K14" s="17" t="s">
        <v>16</v>
      </c>
      <c r="L14" s="7">
        <v>61</v>
      </c>
      <c r="M14" s="7">
        <v>14</v>
      </c>
      <c r="N14" s="7">
        <v>16</v>
      </c>
      <c r="O14" s="7">
        <v>8</v>
      </c>
      <c r="P14" s="18" t="s">
        <v>16</v>
      </c>
      <c r="Q14" s="90" t="s">
        <v>16</v>
      </c>
      <c r="R14" s="88">
        <v>135</v>
      </c>
      <c r="S14" s="48">
        <v>310</v>
      </c>
      <c r="T14" s="15">
        <v>4</v>
      </c>
      <c r="U14" s="7">
        <v>6</v>
      </c>
      <c r="V14" s="7">
        <v>11</v>
      </c>
      <c r="W14" s="7">
        <v>10</v>
      </c>
      <c r="X14" s="7" t="s">
        <v>16</v>
      </c>
      <c r="Y14" s="48" t="s">
        <v>16</v>
      </c>
      <c r="Z14" s="15">
        <v>168</v>
      </c>
      <c r="AA14" s="7">
        <v>205</v>
      </c>
      <c r="AB14" s="7">
        <v>2</v>
      </c>
      <c r="AC14" s="7" t="s">
        <v>16</v>
      </c>
      <c r="AD14" s="7">
        <v>4</v>
      </c>
      <c r="AE14" s="48" t="s">
        <v>16</v>
      </c>
      <c r="AF14" s="37"/>
    </row>
    <row r="15" spans="1:32" ht="15" customHeight="1">
      <c r="A15" s="70">
        <v>10</v>
      </c>
      <c r="B15" s="24">
        <v>997</v>
      </c>
      <c r="C15" s="14">
        <v>161</v>
      </c>
      <c r="D15" s="34">
        <v>51</v>
      </c>
      <c r="E15" s="7">
        <v>49</v>
      </c>
      <c r="F15" s="34">
        <v>268</v>
      </c>
      <c r="G15" s="35">
        <f t="shared" si="0"/>
        <v>63.05882352941177</v>
      </c>
      <c r="H15" s="15">
        <v>10</v>
      </c>
      <c r="I15" s="7">
        <f>1+2</f>
        <v>3</v>
      </c>
      <c r="J15" s="7">
        <v>3</v>
      </c>
      <c r="K15" s="17">
        <v>1</v>
      </c>
      <c r="L15" s="7">
        <v>55</v>
      </c>
      <c r="M15" s="7">
        <v>18</v>
      </c>
      <c r="N15" s="7">
        <v>19</v>
      </c>
      <c r="O15" s="7">
        <v>4</v>
      </c>
      <c r="P15" s="18" t="s">
        <v>27</v>
      </c>
      <c r="Q15" s="90" t="s">
        <v>16</v>
      </c>
      <c r="R15" s="88">
        <v>130</v>
      </c>
      <c r="S15" s="48">
        <v>326</v>
      </c>
      <c r="T15" s="15">
        <v>7</v>
      </c>
      <c r="U15" s="7">
        <v>11</v>
      </c>
      <c r="V15" s="7">
        <v>8</v>
      </c>
      <c r="W15" s="7">
        <v>10</v>
      </c>
      <c r="X15" s="7" t="s">
        <v>16</v>
      </c>
      <c r="Y15" s="48">
        <v>5</v>
      </c>
      <c r="Z15" s="15">
        <v>168</v>
      </c>
      <c r="AA15" s="7">
        <v>272</v>
      </c>
      <c r="AB15" s="7" t="s">
        <v>16</v>
      </c>
      <c r="AC15" s="7" t="s">
        <v>16</v>
      </c>
      <c r="AD15" s="7">
        <v>1</v>
      </c>
      <c r="AE15" s="48">
        <v>2</v>
      </c>
      <c r="AF15" s="37"/>
    </row>
    <row r="16" spans="1:32" ht="15" customHeight="1">
      <c r="A16" s="70">
        <v>11</v>
      </c>
      <c r="B16" s="24">
        <v>677</v>
      </c>
      <c r="C16" s="14">
        <v>110</v>
      </c>
      <c r="D16" s="34">
        <v>26</v>
      </c>
      <c r="E16" s="7">
        <v>40</v>
      </c>
      <c r="F16" s="34">
        <v>254</v>
      </c>
      <c r="G16" s="35">
        <f t="shared" si="0"/>
        <v>59.76470588235294</v>
      </c>
      <c r="H16" s="15">
        <v>7</v>
      </c>
      <c r="I16" s="7">
        <f>3+2</f>
        <v>5</v>
      </c>
      <c r="J16" s="7">
        <v>2</v>
      </c>
      <c r="K16" s="17">
        <v>2</v>
      </c>
      <c r="L16" s="7">
        <v>47</v>
      </c>
      <c r="M16" s="7">
        <v>13</v>
      </c>
      <c r="N16" s="7">
        <v>15</v>
      </c>
      <c r="O16" s="7">
        <v>7</v>
      </c>
      <c r="P16" s="18" t="s">
        <v>16</v>
      </c>
      <c r="Q16" s="90" t="s">
        <v>16</v>
      </c>
      <c r="R16" s="88">
        <v>98</v>
      </c>
      <c r="S16" s="48">
        <v>240</v>
      </c>
      <c r="T16" s="15">
        <v>1</v>
      </c>
      <c r="U16" s="7">
        <v>12</v>
      </c>
      <c r="V16" s="7">
        <v>6</v>
      </c>
      <c r="W16" s="7">
        <v>8</v>
      </c>
      <c r="X16" s="7">
        <v>1</v>
      </c>
      <c r="Y16" s="48" t="s">
        <v>16</v>
      </c>
      <c r="Z16" s="15">
        <v>113</v>
      </c>
      <c r="AA16" s="7">
        <v>154</v>
      </c>
      <c r="AB16" s="7">
        <v>1</v>
      </c>
      <c r="AC16" s="7">
        <v>6</v>
      </c>
      <c r="AD16" s="7" t="s">
        <v>16</v>
      </c>
      <c r="AE16" s="48" t="s">
        <v>16</v>
      </c>
      <c r="AF16" s="37"/>
    </row>
    <row r="17" spans="1:32" ht="15" customHeight="1">
      <c r="A17" s="70">
        <v>12</v>
      </c>
      <c r="B17" s="24">
        <v>1162</v>
      </c>
      <c r="C17" s="14">
        <v>152</v>
      </c>
      <c r="D17" s="34">
        <v>47</v>
      </c>
      <c r="E17" s="7">
        <v>43</v>
      </c>
      <c r="F17" s="34">
        <v>258</v>
      </c>
      <c r="G17" s="35">
        <f t="shared" si="0"/>
        <v>60.705882352941174</v>
      </c>
      <c r="H17" s="15">
        <v>6</v>
      </c>
      <c r="I17" s="7">
        <v>2</v>
      </c>
      <c r="J17" s="7">
        <v>2</v>
      </c>
      <c r="K17" s="17" t="s">
        <v>16</v>
      </c>
      <c r="L17" s="7">
        <v>52</v>
      </c>
      <c r="M17" s="7">
        <v>12</v>
      </c>
      <c r="N17" s="7">
        <v>17</v>
      </c>
      <c r="O17" s="7">
        <v>6</v>
      </c>
      <c r="P17" s="18" t="s">
        <v>16</v>
      </c>
      <c r="Q17" s="90" t="s">
        <v>16</v>
      </c>
      <c r="R17" s="88">
        <v>136</v>
      </c>
      <c r="S17" s="48">
        <v>237</v>
      </c>
      <c r="T17" s="15">
        <v>7</v>
      </c>
      <c r="U17" s="7">
        <v>4</v>
      </c>
      <c r="V17" s="7">
        <v>6</v>
      </c>
      <c r="W17" s="7">
        <v>6</v>
      </c>
      <c r="X17" s="7" t="s">
        <v>16</v>
      </c>
      <c r="Y17" s="48">
        <v>1</v>
      </c>
      <c r="Z17" s="15">
        <v>135</v>
      </c>
      <c r="AA17" s="7">
        <v>166</v>
      </c>
      <c r="AB17" s="7" t="s">
        <v>16</v>
      </c>
      <c r="AC17" s="7">
        <v>1</v>
      </c>
      <c r="AD17" s="7">
        <v>2</v>
      </c>
      <c r="AE17" s="48">
        <v>1</v>
      </c>
      <c r="AF17" s="37"/>
    </row>
    <row r="18" spans="1:32" ht="15" customHeight="1">
      <c r="A18" s="71">
        <v>13</v>
      </c>
      <c r="B18" s="25" t="s">
        <v>16</v>
      </c>
      <c r="C18" s="26">
        <v>233</v>
      </c>
      <c r="D18" s="27">
        <v>13</v>
      </c>
      <c r="E18" s="6">
        <v>6</v>
      </c>
      <c r="F18" s="27">
        <v>265</v>
      </c>
      <c r="G18" s="28">
        <f t="shared" si="0"/>
        <v>62.35294117647059</v>
      </c>
      <c r="H18" s="29">
        <v>1</v>
      </c>
      <c r="I18" s="6" t="s">
        <v>16</v>
      </c>
      <c r="J18" s="6">
        <v>1</v>
      </c>
      <c r="K18" s="31" t="s">
        <v>16</v>
      </c>
      <c r="L18" s="6">
        <v>10</v>
      </c>
      <c r="M18" s="6">
        <v>6</v>
      </c>
      <c r="N18" s="6" t="s">
        <v>16</v>
      </c>
      <c r="O18" s="6" t="s">
        <v>16</v>
      </c>
      <c r="P18" s="30" t="s">
        <v>16</v>
      </c>
      <c r="Q18" s="91" t="s">
        <v>16</v>
      </c>
      <c r="R18" s="89">
        <v>0</v>
      </c>
      <c r="S18" s="49">
        <v>148</v>
      </c>
      <c r="T18" s="29" t="s">
        <v>16</v>
      </c>
      <c r="U18" s="6" t="s">
        <v>16</v>
      </c>
      <c r="V18" s="6" t="s">
        <v>16</v>
      </c>
      <c r="W18" s="6" t="s">
        <v>16</v>
      </c>
      <c r="X18" s="6" t="s">
        <v>16</v>
      </c>
      <c r="Y18" s="49" t="s">
        <v>16</v>
      </c>
      <c r="Z18" s="29" t="s">
        <v>16</v>
      </c>
      <c r="AA18" s="6">
        <v>15</v>
      </c>
      <c r="AB18" s="6" t="s">
        <v>16</v>
      </c>
      <c r="AC18" s="6" t="s">
        <v>16</v>
      </c>
      <c r="AD18" s="6" t="s">
        <v>16</v>
      </c>
      <c r="AE18" s="49" t="s">
        <v>16</v>
      </c>
      <c r="AF18" s="37"/>
    </row>
    <row r="19" spans="1:32" ht="15" customHeight="1">
      <c r="A19" s="70">
        <v>14</v>
      </c>
      <c r="B19" s="24">
        <v>1402</v>
      </c>
      <c r="C19" s="14">
        <v>157</v>
      </c>
      <c r="D19" s="34">
        <v>48</v>
      </c>
      <c r="E19" s="7">
        <v>64</v>
      </c>
      <c r="F19" s="34">
        <v>251</v>
      </c>
      <c r="G19" s="35">
        <f t="shared" si="0"/>
        <v>59.05882352941177</v>
      </c>
      <c r="H19" s="15">
        <v>7</v>
      </c>
      <c r="I19" s="7">
        <v>1</v>
      </c>
      <c r="J19" s="7" t="s">
        <v>16</v>
      </c>
      <c r="K19" s="17" t="s">
        <v>16</v>
      </c>
      <c r="L19" s="7">
        <v>91</v>
      </c>
      <c r="M19" s="7">
        <v>23</v>
      </c>
      <c r="N19" s="7">
        <v>16</v>
      </c>
      <c r="O19" s="7">
        <v>10</v>
      </c>
      <c r="P19" s="18" t="s">
        <v>27</v>
      </c>
      <c r="Q19" s="90" t="s">
        <v>16</v>
      </c>
      <c r="R19" s="88">
        <v>186</v>
      </c>
      <c r="S19" s="48">
        <v>375</v>
      </c>
      <c r="T19" s="15">
        <v>1</v>
      </c>
      <c r="U19" s="7">
        <v>14</v>
      </c>
      <c r="V19" s="7">
        <v>14</v>
      </c>
      <c r="W19" s="7">
        <v>10</v>
      </c>
      <c r="X19" s="7" t="s">
        <v>16</v>
      </c>
      <c r="Y19" s="48">
        <v>4</v>
      </c>
      <c r="Z19" s="15">
        <v>240</v>
      </c>
      <c r="AA19" s="7">
        <v>276</v>
      </c>
      <c r="AB19" s="7">
        <v>1</v>
      </c>
      <c r="AC19" s="7">
        <v>8</v>
      </c>
      <c r="AD19" s="7">
        <v>3</v>
      </c>
      <c r="AE19" s="48">
        <v>1</v>
      </c>
      <c r="AF19" s="37"/>
    </row>
    <row r="20" spans="1:32" ht="15" customHeight="1">
      <c r="A20" s="70">
        <v>15</v>
      </c>
      <c r="B20" s="24">
        <v>1052</v>
      </c>
      <c r="C20" s="14">
        <v>144</v>
      </c>
      <c r="D20" s="34">
        <v>45</v>
      </c>
      <c r="E20" s="7">
        <v>41</v>
      </c>
      <c r="F20" s="34">
        <v>255</v>
      </c>
      <c r="G20" s="35">
        <f t="shared" si="0"/>
        <v>60</v>
      </c>
      <c r="H20" s="15">
        <v>12</v>
      </c>
      <c r="I20" s="7">
        <v>1</v>
      </c>
      <c r="J20" s="7">
        <v>3</v>
      </c>
      <c r="K20" s="17">
        <v>1</v>
      </c>
      <c r="L20" s="7">
        <v>62</v>
      </c>
      <c r="M20" s="7">
        <v>10</v>
      </c>
      <c r="N20" s="7">
        <v>18</v>
      </c>
      <c r="O20" s="7">
        <v>8</v>
      </c>
      <c r="P20" s="18" t="s">
        <v>16</v>
      </c>
      <c r="Q20" s="90" t="s">
        <v>16</v>
      </c>
      <c r="R20" s="88">
        <v>169</v>
      </c>
      <c r="S20" s="48">
        <v>272</v>
      </c>
      <c r="T20" s="15">
        <v>2</v>
      </c>
      <c r="U20" s="7">
        <v>21</v>
      </c>
      <c r="V20" s="7">
        <v>9</v>
      </c>
      <c r="W20" s="7">
        <v>9</v>
      </c>
      <c r="X20" s="7" t="s">
        <v>16</v>
      </c>
      <c r="Y20" s="48">
        <v>2</v>
      </c>
      <c r="Z20" s="15">
        <v>164</v>
      </c>
      <c r="AA20" s="7">
        <v>196</v>
      </c>
      <c r="AB20" s="7" t="s">
        <v>16</v>
      </c>
      <c r="AC20" s="7" t="s">
        <v>16</v>
      </c>
      <c r="AD20" s="7">
        <v>2</v>
      </c>
      <c r="AE20" s="48">
        <v>1</v>
      </c>
      <c r="AF20" s="37"/>
    </row>
    <row r="21" spans="1:32" ht="15" customHeight="1">
      <c r="A21" s="70">
        <v>16</v>
      </c>
      <c r="B21" s="24">
        <v>861</v>
      </c>
      <c r="C21" s="14">
        <v>168</v>
      </c>
      <c r="D21" s="34">
        <v>43</v>
      </c>
      <c r="E21" s="7">
        <v>31</v>
      </c>
      <c r="F21" s="34">
        <v>263</v>
      </c>
      <c r="G21" s="35">
        <f t="shared" si="0"/>
        <v>61.88235294117647</v>
      </c>
      <c r="H21" s="15">
        <v>5</v>
      </c>
      <c r="I21" s="7">
        <v>5</v>
      </c>
      <c r="J21" s="7">
        <v>3</v>
      </c>
      <c r="K21" s="17" t="s">
        <v>16</v>
      </c>
      <c r="L21" s="7">
        <v>55</v>
      </c>
      <c r="M21" s="7">
        <v>10</v>
      </c>
      <c r="N21" s="7">
        <v>21</v>
      </c>
      <c r="O21" s="7">
        <v>11</v>
      </c>
      <c r="P21" s="18" t="s">
        <v>16</v>
      </c>
      <c r="Q21" s="90" t="s">
        <v>16</v>
      </c>
      <c r="R21" s="92">
        <v>129</v>
      </c>
      <c r="S21" s="48">
        <v>262</v>
      </c>
      <c r="T21" s="15">
        <v>6</v>
      </c>
      <c r="U21" s="7">
        <v>14</v>
      </c>
      <c r="V21" s="7">
        <v>7</v>
      </c>
      <c r="W21" s="7">
        <v>14</v>
      </c>
      <c r="X21" s="7" t="s">
        <v>16</v>
      </c>
      <c r="Y21" s="48">
        <v>2</v>
      </c>
      <c r="Z21" s="15">
        <v>128</v>
      </c>
      <c r="AA21" s="7">
        <v>178</v>
      </c>
      <c r="AB21" s="7" t="s">
        <v>16</v>
      </c>
      <c r="AC21" s="7" t="s">
        <v>16</v>
      </c>
      <c r="AD21" s="7">
        <v>3</v>
      </c>
      <c r="AE21" s="48" t="s">
        <v>16</v>
      </c>
      <c r="AF21" s="37"/>
    </row>
    <row r="22" spans="1:32" ht="15" customHeight="1">
      <c r="A22" s="70">
        <v>17</v>
      </c>
      <c r="B22" s="24">
        <v>1103</v>
      </c>
      <c r="C22" s="14">
        <v>166</v>
      </c>
      <c r="D22" s="34">
        <v>72</v>
      </c>
      <c r="E22" s="7">
        <v>26</v>
      </c>
      <c r="F22" s="34">
        <v>309</v>
      </c>
      <c r="G22" s="35">
        <f t="shared" si="0"/>
        <v>72.70588235294117</v>
      </c>
      <c r="H22" s="15">
        <v>8</v>
      </c>
      <c r="I22" s="7">
        <v>2</v>
      </c>
      <c r="J22" s="7">
        <v>1</v>
      </c>
      <c r="K22" s="17" t="s">
        <v>16</v>
      </c>
      <c r="L22" s="7">
        <v>66</v>
      </c>
      <c r="M22" s="7">
        <v>14</v>
      </c>
      <c r="N22" s="7">
        <v>27</v>
      </c>
      <c r="O22" s="7">
        <v>6</v>
      </c>
      <c r="P22" s="18" t="s">
        <v>16</v>
      </c>
      <c r="Q22" s="90" t="s">
        <v>16</v>
      </c>
      <c r="R22" s="88">
        <v>106</v>
      </c>
      <c r="S22" s="48">
        <v>303</v>
      </c>
      <c r="T22" s="15">
        <v>7</v>
      </c>
      <c r="U22" s="7">
        <v>15</v>
      </c>
      <c r="V22" s="7">
        <v>11</v>
      </c>
      <c r="W22" s="7">
        <v>8</v>
      </c>
      <c r="X22" s="7" t="s">
        <v>16</v>
      </c>
      <c r="Y22" s="48">
        <v>3</v>
      </c>
      <c r="Z22" s="15">
        <v>253</v>
      </c>
      <c r="AA22" s="7">
        <v>208</v>
      </c>
      <c r="AB22" s="7" t="s">
        <v>16</v>
      </c>
      <c r="AC22" s="7" t="s">
        <v>16</v>
      </c>
      <c r="AD22" s="7">
        <v>3</v>
      </c>
      <c r="AE22" s="48">
        <v>2</v>
      </c>
      <c r="AF22" s="37"/>
    </row>
    <row r="23" spans="1:32" ht="15" customHeight="1">
      <c r="A23" s="70">
        <v>18</v>
      </c>
      <c r="B23" s="24">
        <v>871</v>
      </c>
      <c r="C23" s="14">
        <v>173</v>
      </c>
      <c r="D23" s="34">
        <v>55</v>
      </c>
      <c r="E23" s="7">
        <v>28</v>
      </c>
      <c r="F23" s="34">
        <v>336</v>
      </c>
      <c r="G23" s="35">
        <f t="shared" si="0"/>
        <v>79.05882352941177</v>
      </c>
      <c r="H23" s="15">
        <v>5</v>
      </c>
      <c r="I23" s="7">
        <v>6</v>
      </c>
      <c r="J23" s="7">
        <v>5</v>
      </c>
      <c r="K23" s="17">
        <v>2</v>
      </c>
      <c r="L23" s="7">
        <v>32</v>
      </c>
      <c r="M23" s="7">
        <v>10</v>
      </c>
      <c r="N23" s="7">
        <v>21</v>
      </c>
      <c r="O23" s="7">
        <v>10</v>
      </c>
      <c r="P23" s="18" t="s">
        <v>16</v>
      </c>
      <c r="Q23" s="90" t="s">
        <v>16</v>
      </c>
      <c r="R23" s="88">
        <v>129</v>
      </c>
      <c r="S23" s="48">
        <v>321</v>
      </c>
      <c r="T23" s="15">
        <v>7</v>
      </c>
      <c r="U23" s="7">
        <v>8</v>
      </c>
      <c r="V23" s="7">
        <v>10</v>
      </c>
      <c r="W23" s="7">
        <v>10</v>
      </c>
      <c r="X23" s="7" t="s">
        <v>16</v>
      </c>
      <c r="Y23" s="48" t="s">
        <v>16</v>
      </c>
      <c r="Z23" s="15">
        <v>104</v>
      </c>
      <c r="AA23" s="7">
        <v>219</v>
      </c>
      <c r="AB23" s="7">
        <v>5</v>
      </c>
      <c r="AC23" s="7">
        <v>5</v>
      </c>
      <c r="AD23" s="7" t="s">
        <v>16</v>
      </c>
      <c r="AE23" s="48" t="s">
        <v>16</v>
      </c>
      <c r="AF23" s="37"/>
    </row>
    <row r="24" spans="1:32" ht="15" customHeight="1">
      <c r="A24" s="70">
        <v>19</v>
      </c>
      <c r="B24" s="24">
        <v>1089</v>
      </c>
      <c r="C24" s="14">
        <v>167</v>
      </c>
      <c r="D24" s="34">
        <v>30</v>
      </c>
      <c r="E24" s="7">
        <v>80</v>
      </c>
      <c r="F24" s="34">
        <v>286</v>
      </c>
      <c r="G24" s="35">
        <f t="shared" si="0"/>
        <v>67.29411764705883</v>
      </c>
      <c r="H24" s="15">
        <v>9</v>
      </c>
      <c r="I24" s="7">
        <f>1+4</f>
        <v>5</v>
      </c>
      <c r="J24" s="7">
        <v>3</v>
      </c>
      <c r="K24" s="17">
        <v>2</v>
      </c>
      <c r="L24" s="7">
        <v>47</v>
      </c>
      <c r="M24" s="7">
        <v>8</v>
      </c>
      <c r="N24" s="7">
        <v>29</v>
      </c>
      <c r="O24" s="7">
        <v>8</v>
      </c>
      <c r="P24" s="18" t="s">
        <v>27</v>
      </c>
      <c r="Q24" s="90" t="s">
        <v>16</v>
      </c>
      <c r="R24" s="88">
        <v>47</v>
      </c>
      <c r="S24" s="48">
        <v>223</v>
      </c>
      <c r="T24" s="15">
        <v>7</v>
      </c>
      <c r="U24" s="7">
        <v>6</v>
      </c>
      <c r="V24" s="7">
        <v>6</v>
      </c>
      <c r="W24" s="7">
        <v>4</v>
      </c>
      <c r="X24" s="7">
        <v>2</v>
      </c>
      <c r="Y24" s="48">
        <v>3</v>
      </c>
      <c r="Z24" s="15">
        <v>78</v>
      </c>
      <c r="AA24" s="7">
        <v>202</v>
      </c>
      <c r="AB24" s="7">
        <v>1</v>
      </c>
      <c r="AC24" s="7">
        <v>5</v>
      </c>
      <c r="AD24" s="7" t="s">
        <v>16</v>
      </c>
      <c r="AE24" s="48" t="s">
        <v>16</v>
      </c>
      <c r="AF24" s="37"/>
    </row>
    <row r="25" spans="1:32" ht="15" customHeight="1">
      <c r="A25" s="71">
        <v>20</v>
      </c>
      <c r="B25" s="25" t="s">
        <v>16</v>
      </c>
      <c r="C25" s="26">
        <v>220</v>
      </c>
      <c r="D25" s="27">
        <v>5</v>
      </c>
      <c r="E25" s="6">
        <v>19</v>
      </c>
      <c r="F25" s="27">
        <v>272</v>
      </c>
      <c r="G25" s="28">
        <f t="shared" si="0"/>
        <v>64</v>
      </c>
      <c r="H25" s="29">
        <v>1</v>
      </c>
      <c r="I25" s="6" t="s">
        <v>16</v>
      </c>
      <c r="J25" s="6">
        <v>6</v>
      </c>
      <c r="K25" s="31">
        <v>1</v>
      </c>
      <c r="L25" s="6">
        <v>11</v>
      </c>
      <c r="M25" s="6">
        <v>2</v>
      </c>
      <c r="N25" s="6" t="s">
        <v>16</v>
      </c>
      <c r="O25" s="6" t="s">
        <v>16</v>
      </c>
      <c r="P25" s="30" t="s">
        <v>16</v>
      </c>
      <c r="Q25" s="91" t="s">
        <v>16</v>
      </c>
      <c r="R25" s="89">
        <v>0</v>
      </c>
      <c r="S25" s="49">
        <v>82</v>
      </c>
      <c r="T25" s="29" t="s">
        <v>16</v>
      </c>
      <c r="U25" s="6" t="s">
        <v>16</v>
      </c>
      <c r="V25" s="6" t="s">
        <v>16</v>
      </c>
      <c r="W25" s="6" t="s">
        <v>16</v>
      </c>
      <c r="X25" s="6" t="s">
        <v>16</v>
      </c>
      <c r="Y25" s="49" t="s">
        <v>16</v>
      </c>
      <c r="Z25" s="29" t="s">
        <v>16</v>
      </c>
      <c r="AA25" s="6">
        <v>15</v>
      </c>
      <c r="AB25" s="6">
        <v>1</v>
      </c>
      <c r="AC25" s="6">
        <v>1</v>
      </c>
      <c r="AD25" s="6" t="s">
        <v>16</v>
      </c>
      <c r="AE25" s="49" t="s">
        <v>16</v>
      </c>
      <c r="AF25" s="37"/>
    </row>
    <row r="26" spans="1:32" ht="15" customHeight="1">
      <c r="A26" s="70">
        <v>21</v>
      </c>
      <c r="B26" s="24">
        <v>1316</v>
      </c>
      <c r="C26" s="14">
        <v>127</v>
      </c>
      <c r="D26" s="34">
        <v>44</v>
      </c>
      <c r="E26" s="7">
        <v>86</v>
      </c>
      <c r="F26" s="34">
        <v>230</v>
      </c>
      <c r="G26" s="35">
        <f t="shared" si="0"/>
        <v>54.11764705882353</v>
      </c>
      <c r="H26" s="15">
        <v>8</v>
      </c>
      <c r="I26" s="7">
        <v>1</v>
      </c>
      <c r="J26" s="7">
        <v>1</v>
      </c>
      <c r="K26" s="17" t="s">
        <v>16</v>
      </c>
      <c r="L26" s="7">
        <v>69</v>
      </c>
      <c r="M26" s="7">
        <v>14</v>
      </c>
      <c r="N26" s="7">
        <v>15</v>
      </c>
      <c r="O26" s="7">
        <v>10</v>
      </c>
      <c r="P26" s="18" t="s">
        <v>27</v>
      </c>
      <c r="Q26" s="90" t="s">
        <v>16</v>
      </c>
      <c r="R26" s="88">
        <v>220</v>
      </c>
      <c r="S26" s="48">
        <v>246</v>
      </c>
      <c r="T26" s="15">
        <v>2</v>
      </c>
      <c r="U26" s="7">
        <v>9</v>
      </c>
      <c r="V26" s="7">
        <v>16</v>
      </c>
      <c r="W26" s="7">
        <v>7</v>
      </c>
      <c r="X26" s="7">
        <v>2</v>
      </c>
      <c r="Y26" s="48" t="s">
        <v>16</v>
      </c>
      <c r="Z26" s="15">
        <v>244</v>
      </c>
      <c r="AA26" s="7">
        <v>157</v>
      </c>
      <c r="AB26" s="7" t="s">
        <v>16</v>
      </c>
      <c r="AC26" s="7">
        <v>3</v>
      </c>
      <c r="AD26" s="7">
        <v>5</v>
      </c>
      <c r="AE26" s="48">
        <v>1</v>
      </c>
      <c r="AF26" s="37"/>
    </row>
    <row r="27" spans="1:32" ht="15" customHeight="1">
      <c r="A27" s="70">
        <v>22</v>
      </c>
      <c r="B27" s="24">
        <v>1041</v>
      </c>
      <c r="C27" s="14">
        <v>141</v>
      </c>
      <c r="D27" s="34">
        <v>43</v>
      </c>
      <c r="E27" s="7">
        <v>33</v>
      </c>
      <c r="F27" s="34">
        <v>240</v>
      </c>
      <c r="G27" s="35">
        <f t="shared" si="0"/>
        <v>56.470588235294116</v>
      </c>
      <c r="H27" s="15">
        <v>10</v>
      </c>
      <c r="I27" s="7">
        <v>1</v>
      </c>
      <c r="J27" s="7">
        <v>2</v>
      </c>
      <c r="K27" s="17" t="s">
        <v>16</v>
      </c>
      <c r="L27" s="7">
        <v>66</v>
      </c>
      <c r="M27" s="7">
        <v>13</v>
      </c>
      <c r="N27" s="7">
        <v>18</v>
      </c>
      <c r="O27" s="7">
        <v>13</v>
      </c>
      <c r="P27" s="18" t="s">
        <v>27</v>
      </c>
      <c r="Q27" s="90" t="s">
        <v>16</v>
      </c>
      <c r="R27" s="88">
        <v>147</v>
      </c>
      <c r="S27" s="48">
        <v>296</v>
      </c>
      <c r="T27" s="15">
        <v>2</v>
      </c>
      <c r="U27" s="7">
        <v>8</v>
      </c>
      <c r="V27" s="7">
        <v>11</v>
      </c>
      <c r="W27" s="7">
        <v>7</v>
      </c>
      <c r="X27" s="7">
        <v>1</v>
      </c>
      <c r="Y27" s="48">
        <v>2</v>
      </c>
      <c r="Z27" s="15">
        <v>116</v>
      </c>
      <c r="AA27" s="7">
        <v>151</v>
      </c>
      <c r="AB27" s="7" t="s">
        <v>16</v>
      </c>
      <c r="AC27" s="7" t="s">
        <v>16</v>
      </c>
      <c r="AD27" s="7" t="s">
        <v>16</v>
      </c>
      <c r="AE27" s="48" t="s">
        <v>16</v>
      </c>
      <c r="AF27" s="37"/>
    </row>
    <row r="28" spans="1:32" ht="15" customHeight="1">
      <c r="A28" s="70">
        <v>23</v>
      </c>
      <c r="B28" s="24">
        <v>1105</v>
      </c>
      <c r="C28" s="14">
        <v>144</v>
      </c>
      <c r="D28" s="34">
        <v>38</v>
      </c>
      <c r="E28" s="7">
        <v>41</v>
      </c>
      <c r="F28" s="34">
        <v>237</v>
      </c>
      <c r="G28" s="35">
        <f t="shared" si="0"/>
        <v>55.76470588235294</v>
      </c>
      <c r="H28" s="15">
        <v>10</v>
      </c>
      <c r="I28" s="7">
        <v>4</v>
      </c>
      <c r="J28" s="7" t="s">
        <v>16</v>
      </c>
      <c r="K28" s="17">
        <v>3</v>
      </c>
      <c r="L28" s="7">
        <v>63</v>
      </c>
      <c r="M28" s="7">
        <v>16</v>
      </c>
      <c r="N28" s="7">
        <v>18</v>
      </c>
      <c r="O28" s="7">
        <v>12</v>
      </c>
      <c r="P28" s="18" t="s">
        <v>16</v>
      </c>
      <c r="Q28" s="90" t="s">
        <v>16</v>
      </c>
      <c r="R28" s="88">
        <v>109</v>
      </c>
      <c r="S28" s="48">
        <v>311</v>
      </c>
      <c r="T28" s="15">
        <v>3</v>
      </c>
      <c r="U28" s="7">
        <v>5</v>
      </c>
      <c r="V28" s="7">
        <v>10</v>
      </c>
      <c r="W28" s="7">
        <v>2</v>
      </c>
      <c r="X28" s="7" t="s">
        <v>16</v>
      </c>
      <c r="Y28" s="48">
        <v>1</v>
      </c>
      <c r="Z28" s="15">
        <v>156</v>
      </c>
      <c r="AA28" s="7">
        <v>165</v>
      </c>
      <c r="AB28" s="7">
        <v>3</v>
      </c>
      <c r="AC28" s="7">
        <v>7</v>
      </c>
      <c r="AD28" s="7">
        <v>3</v>
      </c>
      <c r="AE28" s="48" t="s">
        <v>16</v>
      </c>
      <c r="AF28" s="37"/>
    </row>
    <row r="29" spans="1:32" ht="15" customHeight="1">
      <c r="A29" s="70">
        <v>24</v>
      </c>
      <c r="B29" s="24">
        <v>1078</v>
      </c>
      <c r="C29" s="14">
        <v>138</v>
      </c>
      <c r="D29" s="34">
        <v>45</v>
      </c>
      <c r="E29" s="7">
        <v>31</v>
      </c>
      <c r="F29" s="34">
        <v>251</v>
      </c>
      <c r="G29" s="35">
        <f t="shared" si="0"/>
        <v>59.05882352941177</v>
      </c>
      <c r="H29" s="15">
        <v>11</v>
      </c>
      <c r="I29" s="7">
        <f>1+2</f>
        <v>3</v>
      </c>
      <c r="J29" s="7">
        <v>2</v>
      </c>
      <c r="K29" s="17" t="s">
        <v>16</v>
      </c>
      <c r="L29" s="7">
        <v>64</v>
      </c>
      <c r="M29" s="7">
        <v>13</v>
      </c>
      <c r="N29" s="7">
        <v>18</v>
      </c>
      <c r="O29" s="7">
        <v>8</v>
      </c>
      <c r="P29" s="18" t="s">
        <v>16</v>
      </c>
      <c r="Q29" s="90" t="s">
        <v>27</v>
      </c>
      <c r="R29" s="88">
        <v>172</v>
      </c>
      <c r="S29" s="48">
        <v>216</v>
      </c>
      <c r="T29" s="15" t="s">
        <v>16</v>
      </c>
      <c r="U29" s="7">
        <v>8</v>
      </c>
      <c r="V29" s="7">
        <v>11</v>
      </c>
      <c r="W29" s="7">
        <v>6</v>
      </c>
      <c r="X29" s="7" t="s">
        <v>16</v>
      </c>
      <c r="Y29" s="48">
        <v>2</v>
      </c>
      <c r="Z29" s="15">
        <v>218</v>
      </c>
      <c r="AA29" s="7">
        <v>168</v>
      </c>
      <c r="AB29" s="7" t="s">
        <v>16</v>
      </c>
      <c r="AC29" s="7">
        <v>2</v>
      </c>
      <c r="AD29" s="7">
        <v>2</v>
      </c>
      <c r="AE29" s="48" t="s">
        <v>16</v>
      </c>
      <c r="AF29" s="37"/>
    </row>
    <row r="30" spans="1:32" ht="15" customHeight="1">
      <c r="A30" s="70">
        <v>25</v>
      </c>
      <c r="B30" s="24">
        <v>881</v>
      </c>
      <c r="C30" s="14">
        <v>141</v>
      </c>
      <c r="D30" s="34">
        <v>40</v>
      </c>
      <c r="E30" s="7">
        <v>49</v>
      </c>
      <c r="F30" s="34">
        <v>242</v>
      </c>
      <c r="G30" s="35">
        <f t="shared" si="0"/>
        <v>56.94117647058823</v>
      </c>
      <c r="H30" s="15">
        <v>5</v>
      </c>
      <c r="I30" s="7">
        <f>1+5</f>
        <v>6</v>
      </c>
      <c r="J30" s="7">
        <v>5</v>
      </c>
      <c r="K30" s="17" t="s">
        <v>16</v>
      </c>
      <c r="L30" s="7">
        <v>54</v>
      </c>
      <c r="M30" s="7">
        <v>11</v>
      </c>
      <c r="N30" s="7">
        <v>19</v>
      </c>
      <c r="O30" s="7">
        <v>10</v>
      </c>
      <c r="P30" s="18" t="s">
        <v>16</v>
      </c>
      <c r="Q30" s="90" t="s">
        <v>27</v>
      </c>
      <c r="R30" s="88">
        <v>142</v>
      </c>
      <c r="S30" s="48">
        <v>321</v>
      </c>
      <c r="T30" s="15">
        <v>2</v>
      </c>
      <c r="U30" s="7">
        <v>11</v>
      </c>
      <c r="V30" s="7">
        <v>9</v>
      </c>
      <c r="W30" s="7">
        <v>9</v>
      </c>
      <c r="X30" s="7" t="s">
        <v>16</v>
      </c>
      <c r="Y30" s="48">
        <v>2</v>
      </c>
      <c r="Z30" s="15">
        <v>175</v>
      </c>
      <c r="AA30" s="7">
        <v>333</v>
      </c>
      <c r="AB30" s="7" t="s">
        <v>16</v>
      </c>
      <c r="AC30" s="7">
        <v>2</v>
      </c>
      <c r="AD30" s="7">
        <v>1</v>
      </c>
      <c r="AE30" s="48" t="s">
        <v>16</v>
      </c>
      <c r="AF30" s="37"/>
    </row>
    <row r="31" spans="1:32" ht="15" customHeight="1">
      <c r="A31" s="70">
        <v>26</v>
      </c>
      <c r="B31" s="24">
        <v>1088</v>
      </c>
      <c r="C31" s="14">
        <v>154</v>
      </c>
      <c r="D31" s="34">
        <v>21</v>
      </c>
      <c r="E31" s="7">
        <v>49</v>
      </c>
      <c r="F31" s="34">
        <v>214</v>
      </c>
      <c r="G31" s="35">
        <f t="shared" si="0"/>
        <v>50.35294117647059</v>
      </c>
      <c r="H31" s="15">
        <v>10</v>
      </c>
      <c r="I31" s="7">
        <f>3+6</f>
        <v>9</v>
      </c>
      <c r="J31" s="7" t="s">
        <v>16</v>
      </c>
      <c r="K31" s="17" t="s">
        <v>16</v>
      </c>
      <c r="L31" s="7">
        <v>63</v>
      </c>
      <c r="M31" s="7">
        <v>11</v>
      </c>
      <c r="N31" s="7">
        <v>16</v>
      </c>
      <c r="O31" s="7">
        <v>6</v>
      </c>
      <c r="P31" s="18" t="s">
        <v>16</v>
      </c>
      <c r="Q31" s="90" t="s">
        <v>16</v>
      </c>
      <c r="R31" s="92">
        <v>73</v>
      </c>
      <c r="S31" s="48">
        <v>212</v>
      </c>
      <c r="T31" s="15">
        <v>3</v>
      </c>
      <c r="U31" s="7">
        <v>11</v>
      </c>
      <c r="V31" s="7" t="s">
        <v>16</v>
      </c>
      <c r="W31" s="7">
        <v>6</v>
      </c>
      <c r="X31" s="7">
        <v>1</v>
      </c>
      <c r="Y31" s="48">
        <v>2</v>
      </c>
      <c r="Z31" s="15">
        <v>145</v>
      </c>
      <c r="AA31" s="7">
        <v>195</v>
      </c>
      <c r="AB31" s="7">
        <v>1</v>
      </c>
      <c r="AC31" s="7">
        <v>1</v>
      </c>
      <c r="AD31" s="7">
        <v>2</v>
      </c>
      <c r="AE31" s="48" t="s">
        <v>16</v>
      </c>
      <c r="AF31" s="37"/>
    </row>
    <row r="32" spans="1:32" ht="15" customHeight="1">
      <c r="A32" s="71">
        <v>27</v>
      </c>
      <c r="B32" s="25" t="s">
        <v>16</v>
      </c>
      <c r="C32" s="26">
        <v>208</v>
      </c>
      <c r="D32" s="27">
        <v>16</v>
      </c>
      <c r="E32" s="6">
        <v>13</v>
      </c>
      <c r="F32" s="27">
        <v>217</v>
      </c>
      <c r="G32" s="28">
        <f t="shared" si="0"/>
        <v>51.05882352941177</v>
      </c>
      <c r="H32" s="29" t="s">
        <v>16</v>
      </c>
      <c r="I32" s="6" t="s">
        <v>16</v>
      </c>
      <c r="J32" s="6">
        <v>1</v>
      </c>
      <c r="K32" s="31" t="s">
        <v>16</v>
      </c>
      <c r="L32" s="6">
        <v>17</v>
      </c>
      <c r="M32" s="6">
        <v>3</v>
      </c>
      <c r="N32" s="6" t="s">
        <v>16</v>
      </c>
      <c r="O32" s="6" t="s">
        <v>16</v>
      </c>
      <c r="P32" s="30" t="s">
        <v>16</v>
      </c>
      <c r="Q32" s="91" t="s">
        <v>16</v>
      </c>
      <c r="R32" s="89">
        <v>0</v>
      </c>
      <c r="S32" s="49">
        <v>124</v>
      </c>
      <c r="T32" s="29" t="s">
        <v>16</v>
      </c>
      <c r="U32" s="6" t="s">
        <v>16</v>
      </c>
      <c r="V32" s="6" t="s">
        <v>16</v>
      </c>
      <c r="W32" s="6" t="s">
        <v>16</v>
      </c>
      <c r="X32" s="6" t="s">
        <v>16</v>
      </c>
      <c r="Y32" s="49" t="s">
        <v>16</v>
      </c>
      <c r="Z32" s="29" t="s">
        <v>16</v>
      </c>
      <c r="AA32" s="6">
        <v>5</v>
      </c>
      <c r="AB32" s="6" t="s">
        <v>16</v>
      </c>
      <c r="AC32" s="6" t="s">
        <v>16</v>
      </c>
      <c r="AD32" s="6" t="s">
        <v>16</v>
      </c>
      <c r="AE32" s="49" t="s">
        <v>16</v>
      </c>
      <c r="AF32" s="37"/>
    </row>
    <row r="33" spans="1:32" ht="15" customHeight="1" thickBot="1">
      <c r="A33" s="72">
        <v>28</v>
      </c>
      <c r="B33" s="50">
        <v>1401</v>
      </c>
      <c r="C33" s="51">
        <v>159</v>
      </c>
      <c r="D33" s="56">
        <v>64</v>
      </c>
      <c r="E33" s="51">
        <v>54</v>
      </c>
      <c r="F33" s="56">
        <v>227</v>
      </c>
      <c r="G33" s="57">
        <f t="shared" si="0"/>
        <v>53.411764705882355</v>
      </c>
      <c r="H33" s="58">
        <v>3</v>
      </c>
      <c r="I33" s="51">
        <f>2+7</f>
        <v>9</v>
      </c>
      <c r="J33" s="51">
        <v>2</v>
      </c>
      <c r="K33" s="59">
        <v>1</v>
      </c>
      <c r="L33" s="51">
        <v>74</v>
      </c>
      <c r="M33" s="51">
        <v>20</v>
      </c>
      <c r="N33" s="51">
        <v>16</v>
      </c>
      <c r="O33" s="51">
        <v>10</v>
      </c>
      <c r="P33" s="60" t="s">
        <v>16</v>
      </c>
      <c r="Q33" s="98" t="s">
        <v>16</v>
      </c>
      <c r="R33" s="94">
        <v>134</v>
      </c>
      <c r="S33" s="66">
        <v>218</v>
      </c>
      <c r="T33" s="81">
        <v>7</v>
      </c>
      <c r="U33" s="62">
        <v>11</v>
      </c>
      <c r="V33" s="62">
        <v>10</v>
      </c>
      <c r="W33" s="62">
        <v>3</v>
      </c>
      <c r="X33" s="62" t="s">
        <v>16</v>
      </c>
      <c r="Y33" s="66">
        <v>5</v>
      </c>
      <c r="Z33" s="81">
        <v>633</v>
      </c>
      <c r="AA33" s="62">
        <v>187</v>
      </c>
      <c r="AB33" s="62">
        <v>1</v>
      </c>
      <c r="AC33" s="62">
        <v>2</v>
      </c>
      <c r="AD33" s="62">
        <v>2</v>
      </c>
      <c r="AE33" s="66">
        <v>2</v>
      </c>
      <c r="AF33" s="37"/>
    </row>
    <row r="34" spans="1:32" ht="20.25" customHeight="1" thickBot="1" thickTop="1">
      <c r="A34" s="68" t="s">
        <v>22</v>
      </c>
      <c r="B34" s="53">
        <f aca="true" t="shared" si="1" ref="B34:O34">SUM(B6:B33)</f>
        <v>24883</v>
      </c>
      <c r="C34" s="53">
        <f t="shared" si="1"/>
        <v>4445</v>
      </c>
      <c r="D34" s="53">
        <f t="shared" si="1"/>
        <v>1133</v>
      </c>
      <c r="E34" s="53">
        <f t="shared" si="1"/>
        <v>1088</v>
      </c>
      <c r="F34" s="53">
        <f t="shared" si="1"/>
        <v>7073</v>
      </c>
      <c r="G34" s="55">
        <f t="shared" si="1"/>
        <v>1664.235294117647</v>
      </c>
      <c r="H34" s="53">
        <f t="shared" si="1"/>
        <v>186</v>
      </c>
      <c r="I34" s="53">
        <f t="shared" si="1"/>
        <v>96</v>
      </c>
      <c r="J34" s="53">
        <f t="shared" si="1"/>
        <v>58</v>
      </c>
      <c r="K34" s="53">
        <f t="shared" si="1"/>
        <v>17</v>
      </c>
      <c r="L34" s="53">
        <f>SUM(L6:L33)</f>
        <v>1488</v>
      </c>
      <c r="M34" s="53">
        <f>SUM(M6:M33)</f>
        <v>349</v>
      </c>
      <c r="N34" s="53">
        <f t="shared" si="1"/>
        <v>425</v>
      </c>
      <c r="O34" s="53">
        <f t="shared" si="1"/>
        <v>195</v>
      </c>
      <c r="P34" s="61" t="s">
        <v>36</v>
      </c>
      <c r="Q34" s="99" t="s">
        <v>35</v>
      </c>
      <c r="R34" s="95">
        <f aca="true" t="shared" si="2" ref="R34:AE34">SUM(R6:R33)</f>
        <v>3089</v>
      </c>
      <c r="S34" s="127">
        <f t="shared" si="2"/>
        <v>7085</v>
      </c>
      <c r="T34" s="120">
        <f t="shared" si="2"/>
        <v>88</v>
      </c>
      <c r="U34" s="64">
        <f t="shared" si="2"/>
        <v>238</v>
      </c>
      <c r="V34" s="64">
        <f t="shared" si="2"/>
        <v>202</v>
      </c>
      <c r="W34" s="64">
        <f t="shared" si="2"/>
        <v>178</v>
      </c>
      <c r="X34" s="64">
        <f t="shared" si="2"/>
        <v>8</v>
      </c>
      <c r="Y34" s="65">
        <f t="shared" si="2"/>
        <v>42</v>
      </c>
      <c r="Z34" s="120">
        <f t="shared" si="2"/>
        <v>4183</v>
      </c>
      <c r="AA34" s="65">
        <f t="shared" si="2"/>
        <v>5084</v>
      </c>
      <c r="AB34" s="63">
        <f t="shared" si="2"/>
        <v>20</v>
      </c>
      <c r="AC34" s="64">
        <f t="shared" si="2"/>
        <v>59</v>
      </c>
      <c r="AD34" s="64">
        <f t="shared" si="2"/>
        <v>45</v>
      </c>
      <c r="AE34" s="65">
        <f t="shared" si="2"/>
        <v>14</v>
      </c>
      <c r="AF34" s="37"/>
    </row>
    <row r="35" spans="1:32" s="36" customFormat="1" ht="24.75" customHeight="1" thickBot="1" thickTop="1">
      <c r="A35" s="69" t="s">
        <v>18</v>
      </c>
      <c r="B35" s="54">
        <f>+B34/24</f>
        <v>1036.7916666666667</v>
      </c>
      <c r="C35" s="54">
        <f aca="true" t="shared" si="3" ref="C35:M35">+C34/28</f>
        <v>158.75</v>
      </c>
      <c r="D35" s="54">
        <f t="shared" si="3"/>
        <v>40.464285714285715</v>
      </c>
      <c r="E35" s="54">
        <f t="shared" si="3"/>
        <v>38.857142857142854</v>
      </c>
      <c r="F35" s="54">
        <f t="shared" si="3"/>
        <v>252.60714285714286</v>
      </c>
      <c r="G35" s="685">
        <f t="shared" si="3"/>
        <v>59.436974789915965</v>
      </c>
      <c r="H35" s="54">
        <f t="shared" si="3"/>
        <v>6.642857142857143</v>
      </c>
      <c r="I35" s="54">
        <f t="shared" si="3"/>
        <v>3.4285714285714284</v>
      </c>
      <c r="J35" s="54">
        <f t="shared" si="3"/>
        <v>2.0714285714285716</v>
      </c>
      <c r="K35" s="52">
        <f t="shared" si="3"/>
        <v>0.6071428571428571</v>
      </c>
      <c r="L35" s="52">
        <f t="shared" si="3"/>
        <v>53.142857142857146</v>
      </c>
      <c r="M35" s="52">
        <f t="shared" si="3"/>
        <v>12.464285714285714</v>
      </c>
      <c r="N35" s="52">
        <f>+N34/24</f>
        <v>17.708333333333332</v>
      </c>
      <c r="O35" s="52">
        <f>+O34/24</f>
        <v>8.125</v>
      </c>
      <c r="P35" s="52" t="s">
        <v>16</v>
      </c>
      <c r="Q35" s="67" t="s">
        <v>16</v>
      </c>
      <c r="R35" s="96">
        <f>+R34/24</f>
        <v>128.70833333333334</v>
      </c>
      <c r="S35" s="67">
        <f>+S34/28</f>
        <v>253.03571428571428</v>
      </c>
      <c r="T35" s="96">
        <f>+T34/24</f>
        <v>3.6666666666666665</v>
      </c>
      <c r="U35" s="52">
        <f>+U34/24</f>
        <v>9.916666666666666</v>
      </c>
      <c r="V35" s="52">
        <f>+V34/24</f>
        <v>8.416666666666666</v>
      </c>
      <c r="W35" s="52">
        <f>+W34/24</f>
        <v>7.416666666666667</v>
      </c>
      <c r="X35" s="52" t="s">
        <v>16</v>
      </c>
      <c r="Y35" s="67">
        <f>+Y34/24</f>
        <v>1.75</v>
      </c>
      <c r="Z35" s="96">
        <f>+Z34/24</f>
        <v>174.29166666666666</v>
      </c>
      <c r="AA35" s="52">
        <f>+AA34/28</f>
        <v>181.57142857142858</v>
      </c>
      <c r="AB35" s="52">
        <f>+AB34/24</f>
        <v>0.8333333333333334</v>
      </c>
      <c r="AC35" s="52">
        <f>+AC34/28</f>
        <v>2.107142857142857</v>
      </c>
      <c r="AD35" s="52">
        <f>+AD34/24</f>
        <v>1.875</v>
      </c>
      <c r="AE35" s="67">
        <f>+AE34/24</f>
        <v>0.5833333333333334</v>
      </c>
      <c r="AF35" s="38"/>
    </row>
    <row r="36" spans="1:32" ht="13.5" thickTop="1">
      <c r="A36" s="39"/>
      <c r="B36" s="40"/>
      <c r="C36" s="40"/>
      <c r="D36" s="40"/>
      <c r="E36" s="40"/>
      <c r="F36" s="39"/>
      <c r="G36" s="37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7"/>
    </row>
    <row r="37" spans="1:32" ht="12.75">
      <c r="A37" s="39"/>
      <c r="B37" s="40"/>
      <c r="C37" s="40"/>
      <c r="D37" s="40"/>
      <c r="E37" s="40"/>
      <c r="F37" s="39"/>
      <c r="G37" s="37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7"/>
    </row>
    <row r="38" spans="1:32" ht="12.75">
      <c r="A38" s="39"/>
      <c r="B38" s="40"/>
      <c r="C38" s="40"/>
      <c r="D38" s="40"/>
      <c r="E38" s="40"/>
      <c r="F38" s="39"/>
      <c r="G38" s="37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7"/>
    </row>
    <row r="39" spans="1:32" ht="12.75">
      <c r="A39" s="39"/>
      <c r="B39" s="40"/>
      <c r="C39" s="40"/>
      <c r="D39" s="40"/>
      <c r="E39" s="40"/>
      <c r="F39" s="39"/>
      <c r="G39" s="37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7"/>
    </row>
    <row r="40" spans="1:32" ht="15.75">
      <c r="A40" s="39"/>
      <c r="B40" s="40"/>
      <c r="C40" s="40"/>
      <c r="D40" s="40"/>
      <c r="E40" s="40"/>
      <c r="F40" s="39"/>
      <c r="G40" s="37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3" t="s">
        <v>29</v>
      </c>
      <c r="Z40" s="39"/>
      <c r="AA40" s="39"/>
      <c r="AB40" s="39"/>
      <c r="AC40" s="39"/>
      <c r="AD40" s="39"/>
      <c r="AE40" s="39"/>
      <c r="AF40" s="37"/>
    </row>
    <row r="41" ht="12.75">
      <c r="G41" s="42"/>
    </row>
    <row r="42" ht="12.75">
      <c r="M42" s="8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73" spans="4:7" ht="12.75">
      <c r="D73" s="21"/>
      <c r="G73" s="43"/>
    </row>
  </sheetData>
  <sheetProtection/>
  <mergeCells count="27">
    <mergeCell ref="A1:AE1"/>
    <mergeCell ref="A2:AE2"/>
    <mergeCell ref="A3:A4"/>
    <mergeCell ref="B3:B4"/>
    <mergeCell ref="C3:C4"/>
    <mergeCell ref="D3:D4"/>
    <mergeCell ref="E3:E4"/>
    <mergeCell ref="F3:F4"/>
    <mergeCell ref="G3:G4"/>
    <mergeCell ref="H3:H4"/>
    <mergeCell ref="Z4:AA4"/>
    <mergeCell ref="AB4:AC4"/>
    <mergeCell ref="AD4:AE4"/>
    <mergeCell ref="I3:I4"/>
    <mergeCell ref="K3:K4"/>
    <mergeCell ref="L3:Q3"/>
    <mergeCell ref="R3:AE3"/>
    <mergeCell ref="L4:M4"/>
    <mergeCell ref="N4:O4"/>
    <mergeCell ref="P4:Q4"/>
    <mergeCell ref="A5:C5"/>
    <mergeCell ref="D5:G5"/>
    <mergeCell ref="H5:K5"/>
    <mergeCell ref="X4:Y4"/>
    <mergeCell ref="R4:S4"/>
    <mergeCell ref="T4:U4"/>
    <mergeCell ref="V4:W4"/>
  </mergeCells>
  <printOptions horizontalCentered="1" verticalCentered="1"/>
  <pageMargins left="0.5" right="0.5" top="0.5" bottom="0.5" header="0.5" footer="0.5"/>
  <pageSetup horizontalDpi="600" verticalDpi="600" orientation="landscape" paperSize="5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AI76"/>
  <sheetViews>
    <sheetView view="pageBreakPreview" zoomScale="98" zoomScaleSheetLayoutView="98" zoomScalePageLayoutView="0" workbookViewId="0" topLeftCell="A22">
      <selection activeCell="G38" sqref="G38"/>
    </sheetView>
  </sheetViews>
  <sheetFormatPr defaultColWidth="9.140625" defaultRowHeight="12.75"/>
  <cols>
    <col min="1" max="1" width="6.57421875" style="0" customWidth="1"/>
    <col min="2" max="2" width="8.421875" style="4" customWidth="1"/>
    <col min="3" max="3" width="6.7109375" style="4" customWidth="1"/>
    <col min="4" max="4" width="6.8515625" style="4" customWidth="1"/>
    <col min="5" max="5" width="6.421875" style="4" customWidth="1"/>
    <col min="6" max="6" width="7.7109375" style="0" customWidth="1"/>
    <col min="7" max="7" width="6.7109375" style="9" customWidth="1"/>
    <col min="8" max="8" width="7.28125" style="0" customWidth="1"/>
    <col min="9" max="10" width="7.7109375" style="0" customWidth="1"/>
    <col min="11" max="11" width="8.00390625" style="0" customWidth="1"/>
    <col min="12" max="13" width="6.7109375" style="0" customWidth="1"/>
    <col min="14" max="14" width="5.8515625" style="0" customWidth="1"/>
    <col min="15" max="15" width="5.28125" style="0" customWidth="1"/>
    <col min="16" max="16" width="5.7109375" style="0" customWidth="1"/>
    <col min="17" max="18" width="4.7109375" style="0" customWidth="1"/>
    <col min="19" max="20" width="6.421875" style="0" bestFit="1" customWidth="1"/>
    <col min="21" max="24" width="5.140625" style="0" bestFit="1" customWidth="1"/>
    <col min="25" max="25" width="4.7109375" style="0" customWidth="1"/>
    <col min="26" max="26" width="6.28125" style="0" customWidth="1"/>
    <col min="27" max="28" width="6.8515625" style="0" customWidth="1"/>
    <col min="29" max="29" width="5.57421875" style="0" customWidth="1"/>
    <col min="30" max="30" width="6.00390625" style="0" customWidth="1"/>
    <col min="31" max="32" width="4.7109375" style="0" customWidth="1"/>
    <col min="33" max="16384" width="9.140625" style="9" customWidth="1"/>
  </cols>
  <sheetData>
    <row r="1" spans="1:32" ht="12" customHeight="1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</row>
    <row r="2" spans="1:33" ht="17.25" customHeight="1" thickBot="1">
      <c r="A2" s="531" t="s">
        <v>51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37"/>
    </row>
    <row r="3" spans="1:35" ht="12" customHeight="1" thickTop="1">
      <c r="A3" s="512" t="s">
        <v>23</v>
      </c>
      <c r="B3" s="514" t="s">
        <v>0</v>
      </c>
      <c r="C3" s="514" t="s">
        <v>1</v>
      </c>
      <c r="D3" s="515" t="s">
        <v>20</v>
      </c>
      <c r="E3" s="514" t="s">
        <v>21</v>
      </c>
      <c r="F3" s="518" t="s">
        <v>19</v>
      </c>
      <c r="G3" s="519" t="s">
        <v>2</v>
      </c>
      <c r="H3" s="505" t="s">
        <v>3</v>
      </c>
      <c r="I3" s="504" t="s">
        <v>4</v>
      </c>
      <c r="J3" s="121"/>
      <c r="K3" s="46"/>
      <c r="L3" s="529" t="s">
        <v>5</v>
      </c>
      <c r="M3" s="534" t="s">
        <v>17</v>
      </c>
      <c r="N3" s="506"/>
      <c r="O3" s="506"/>
      <c r="P3" s="506"/>
      <c r="Q3" s="506"/>
      <c r="R3" s="535"/>
      <c r="S3" s="480" t="s">
        <v>43</v>
      </c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2"/>
      <c r="AG3" s="123"/>
      <c r="AH3" s="76"/>
      <c r="AI3" s="76"/>
    </row>
    <row r="4" spans="1:35" ht="92.25" customHeight="1" thickBot="1">
      <c r="A4" s="530"/>
      <c r="B4" s="517"/>
      <c r="C4" s="517"/>
      <c r="D4" s="516"/>
      <c r="E4" s="517"/>
      <c r="F4" s="499"/>
      <c r="G4" s="520"/>
      <c r="H4" s="501"/>
      <c r="I4" s="499"/>
      <c r="J4" s="47" t="s">
        <v>42</v>
      </c>
      <c r="K4" s="47" t="s">
        <v>26</v>
      </c>
      <c r="L4" s="503"/>
      <c r="M4" s="501" t="s">
        <v>6</v>
      </c>
      <c r="N4" s="499"/>
      <c r="O4" s="499" t="s">
        <v>15</v>
      </c>
      <c r="P4" s="499"/>
      <c r="Q4" s="499" t="s">
        <v>7</v>
      </c>
      <c r="R4" s="511"/>
      <c r="S4" s="532" t="s">
        <v>25</v>
      </c>
      <c r="T4" s="533"/>
      <c r="U4" s="501" t="s">
        <v>34</v>
      </c>
      <c r="V4" s="499"/>
      <c r="W4" s="499" t="s">
        <v>9</v>
      </c>
      <c r="X4" s="499"/>
      <c r="Y4" s="499" t="s">
        <v>10</v>
      </c>
      <c r="Z4" s="503"/>
      <c r="AA4" s="501" t="s">
        <v>11</v>
      </c>
      <c r="AB4" s="499"/>
      <c r="AC4" s="502" t="s">
        <v>24</v>
      </c>
      <c r="AD4" s="502"/>
      <c r="AE4" s="499" t="s">
        <v>12</v>
      </c>
      <c r="AF4" s="503"/>
      <c r="AG4" s="75"/>
      <c r="AH4" s="76"/>
      <c r="AI4" s="76"/>
    </row>
    <row r="5" spans="1:34" ht="16.5" customHeight="1" thickBot="1" thickTop="1">
      <c r="A5" s="521"/>
      <c r="B5" s="522"/>
      <c r="C5" s="523"/>
      <c r="D5" s="524" t="s">
        <v>39</v>
      </c>
      <c r="E5" s="525"/>
      <c r="F5" s="525"/>
      <c r="G5" s="526"/>
      <c r="H5" s="527"/>
      <c r="I5" s="522"/>
      <c r="J5" s="522"/>
      <c r="K5" s="522"/>
      <c r="L5" s="528"/>
      <c r="M5" s="63" t="s">
        <v>13</v>
      </c>
      <c r="N5" s="64" t="s">
        <v>14</v>
      </c>
      <c r="O5" s="64" t="s">
        <v>13</v>
      </c>
      <c r="P5" s="64" t="s">
        <v>14</v>
      </c>
      <c r="Q5" s="64" t="s">
        <v>13</v>
      </c>
      <c r="R5" s="65" t="s">
        <v>14</v>
      </c>
      <c r="S5" s="119" t="s">
        <v>13</v>
      </c>
      <c r="T5" s="65" t="s">
        <v>14</v>
      </c>
      <c r="U5" s="63" t="s">
        <v>13</v>
      </c>
      <c r="V5" s="64" t="s">
        <v>14</v>
      </c>
      <c r="W5" s="64" t="s">
        <v>13</v>
      </c>
      <c r="X5" s="64" t="s">
        <v>14</v>
      </c>
      <c r="Y5" s="64" t="s">
        <v>13</v>
      </c>
      <c r="Z5" s="65" t="s">
        <v>14</v>
      </c>
      <c r="AA5" s="120" t="s">
        <v>13</v>
      </c>
      <c r="AB5" s="64" t="s">
        <v>14</v>
      </c>
      <c r="AC5" s="64" t="s">
        <v>13</v>
      </c>
      <c r="AD5" s="64" t="s">
        <v>14</v>
      </c>
      <c r="AE5" s="64" t="s">
        <v>13</v>
      </c>
      <c r="AF5" s="65" t="s">
        <v>14</v>
      </c>
      <c r="AG5" s="37"/>
      <c r="AH5" s="76"/>
    </row>
    <row r="6" spans="1:33" ht="15" customHeight="1" thickTop="1">
      <c r="A6" s="122">
        <v>1</v>
      </c>
      <c r="B6" s="111">
        <v>1055</v>
      </c>
      <c r="C6" s="112">
        <v>144</v>
      </c>
      <c r="D6" s="113">
        <v>32</v>
      </c>
      <c r="E6" s="109">
        <v>12</v>
      </c>
      <c r="F6" s="113">
        <v>247</v>
      </c>
      <c r="G6" s="114">
        <f>+F6/4.25</f>
        <v>58.11764705882353</v>
      </c>
      <c r="H6" s="108">
        <v>4</v>
      </c>
      <c r="I6" s="109">
        <f>1+11</f>
        <v>12</v>
      </c>
      <c r="J6" s="109">
        <v>2</v>
      </c>
      <c r="K6" s="109" t="s">
        <v>16</v>
      </c>
      <c r="L6" s="110" t="s">
        <v>16</v>
      </c>
      <c r="M6" s="108">
        <v>66</v>
      </c>
      <c r="N6" s="109">
        <v>12</v>
      </c>
      <c r="O6" s="109">
        <v>16</v>
      </c>
      <c r="P6" s="109">
        <v>4</v>
      </c>
      <c r="Q6" s="115" t="s">
        <v>27</v>
      </c>
      <c r="R6" s="116" t="s">
        <v>41</v>
      </c>
      <c r="S6" s="117">
        <v>141</v>
      </c>
      <c r="T6" s="118">
        <v>224</v>
      </c>
      <c r="U6" s="108">
        <v>4</v>
      </c>
      <c r="V6" s="109">
        <v>5</v>
      </c>
      <c r="W6" s="109">
        <v>20</v>
      </c>
      <c r="X6" s="109">
        <v>7</v>
      </c>
      <c r="Y6" s="109" t="s">
        <v>16</v>
      </c>
      <c r="Z6" s="118">
        <v>1</v>
      </c>
      <c r="AA6" s="108">
        <v>201</v>
      </c>
      <c r="AB6" s="109">
        <v>138</v>
      </c>
      <c r="AC6" s="109" t="s">
        <v>16</v>
      </c>
      <c r="AD6" s="109">
        <v>2</v>
      </c>
      <c r="AE6" s="109">
        <v>2</v>
      </c>
      <c r="AF6" s="118" t="s">
        <v>16</v>
      </c>
      <c r="AG6" s="37"/>
    </row>
    <row r="7" spans="1:33" ht="15" customHeight="1">
      <c r="A7" s="70">
        <v>2</v>
      </c>
      <c r="B7" s="24">
        <v>1056</v>
      </c>
      <c r="C7" s="14">
        <v>144</v>
      </c>
      <c r="D7" s="34">
        <v>25</v>
      </c>
      <c r="E7" s="7">
        <v>32</v>
      </c>
      <c r="F7" s="34">
        <v>240</v>
      </c>
      <c r="G7" s="35">
        <f aca="true" t="shared" si="0" ref="G7:G36">+F7/4.25</f>
        <v>56.470588235294116</v>
      </c>
      <c r="H7" s="15">
        <v>10</v>
      </c>
      <c r="I7" s="7">
        <f>26+5</f>
        <v>31</v>
      </c>
      <c r="J7" s="7">
        <v>2</v>
      </c>
      <c r="K7" s="7" t="s">
        <v>16</v>
      </c>
      <c r="L7" s="102">
        <v>1</v>
      </c>
      <c r="M7" s="15">
        <v>50</v>
      </c>
      <c r="N7" s="7">
        <v>6</v>
      </c>
      <c r="O7" s="7">
        <v>12</v>
      </c>
      <c r="P7" s="7">
        <v>11</v>
      </c>
      <c r="Q7" s="18" t="s">
        <v>16</v>
      </c>
      <c r="R7" s="90" t="s">
        <v>16</v>
      </c>
      <c r="S7" s="88">
        <v>146</v>
      </c>
      <c r="T7" s="48">
        <v>193</v>
      </c>
      <c r="U7" s="15">
        <v>12</v>
      </c>
      <c r="V7" s="7">
        <v>18</v>
      </c>
      <c r="W7" s="7">
        <v>5</v>
      </c>
      <c r="X7" s="7">
        <v>9</v>
      </c>
      <c r="Y7" s="7">
        <v>1</v>
      </c>
      <c r="Z7" s="48" t="s">
        <v>16</v>
      </c>
      <c r="AA7" s="15">
        <v>172</v>
      </c>
      <c r="AB7" s="7">
        <v>157</v>
      </c>
      <c r="AC7" s="7" t="s">
        <v>16</v>
      </c>
      <c r="AD7" s="7">
        <v>3</v>
      </c>
      <c r="AE7" s="7">
        <v>4</v>
      </c>
      <c r="AF7" s="48" t="s">
        <v>16</v>
      </c>
      <c r="AG7" s="37"/>
    </row>
    <row r="8" spans="1:33" ht="15" customHeight="1">
      <c r="A8" s="70">
        <v>3</v>
      </c>
      <c r="B8" s="24">
        <v>1035</v>
      </c>
      <c r="C8" s="14">
        <v>104</v>
      </c>
      <c r="D8" s="34">
        <v>36</v>
      </c>
      <c r="E8" s="7">
        <v>44</v>
      </c>
      <c r="F8" s="34">
        <v>232</v>
      </c>
      <c r="G8" s="35">
        <f t="shared" si="0"/>
        <v>54.588235294117645</v>
      </c>
      <c r="H8" s="15">
        <v>9</v>
      </c>
      <c r="I8" s="7">
        <v>26</v>
      </c>
      <c r="J8" s="7" t="s">
        <v>16</v>
      </c>
      <c r="K8" s="7">
        <v>5</v>
      </c>
      <c r="L8" s="102" t="s">
        <v>16</v>
      </c>
      <c r="M8" s="15">
        <v>57</v>
      </c>
      <c r="N8" s="7">
        <v>6</v>
      </c>
      <c r="O8" s="7">
        <v>18</v>
      </c>
      <c r="P8" s="7">
        <v>2</v>
      </c>
      <c r="Q8" s="18" t="s">
        <v>16</v>
      </c>
      <c r="R8" s="90" t="s">
        <v>16</v>
      </c>
      <c r="S8" s="88">
        <v>128</v>
      </c>
      <c r="T8" s="48">
        <v>154</v>
      </c>
      <c r="U8" s="15">
        <v>2</v>
      </c>
      <c r="V8" s="7">
        <v>3</v>
      </c>
      <c r="W8" s="7">
        <v>10</v>
      </c>
      <c r="X8" s="7">
        <v>3</v>
      </c>
      <c r="Y8" s="7">
        <v>1</v>
      </c>
      <c r="Z8" s="48" t="s">
        <v>16</v>
      </c>
      <c r="AA8" s="15">
        <v>197</v>
      </c>
      <c r="AB8" s="7">
        <v>82</v>
      </c>
      <c r="AC8" s="7" t="s">
        <v>16</v>
      </c>
      <c r="AD8" s="7">
        <v>1</v>
      </c>
      <c r="AE8" s="7">
        <v>2</v>
      </c>
      <c r="AF8" s="48">
        <v>1</v>
      </c>
      <c r="AG8" s="37"/>
    </row>
    <row r="9" spans="1:33" ht="15" customHeight="1">
      <c r="A9" s="70">
        <v>4</v>
      </c>
      <c r="B9" s="24">
        <v>779</v>
      </c>
      <c r="C9" s="14">
        <v>131</v>
      </c>
      <c r="D9" s="34">
        <v>31</v>
      </c>
      <c r="E9" s="7">
        <v>38</v>
      </c>
      <c r="F9" s="34">
        <v>225</v>
      </c>
      <c r="G9" s="35">
        <f t="shared" si="0"/>
        <v>52.94117647058823</v>
      </c>
      <c r="H9" s="15">
        <v>7</v>
      </c>
      <c r="I9" s="7">
        <f>26+1</f>
        <v>27</v>
      </c>
      <c r="J9" s="7" t="s">
        <v>16</v>
      </c>
      <c r="K9" s="7">
        <v>2</v>
      </c>
      <c r="L9" s="102" t="s">
        <v>16</v>
      </c>
      <c r="M9" s="15">
        <v>45</v>
      </c>
      <c r="N9" s="7">
        <v>10</v>
      </c>
      <c r="O9" s="7">
        <v>13</v>
      </c>
      <c r="P9" s="7">
        <v>7</v>
      </c>
      <c r="Q9" s="18" t="s">
        <v>27</v>
      </c>
      <c r="R9" s="90" t="s">
        <v>16</v>
      </c>
      <c r="S9" s="88">
        <v>156</v>
      </c>
      <c r="T9" s="48">
        <v>189</v>
      </c>
      <c r="U9" s="15">
        <v>4</v>
      </c>
      <c r="V9" s="7">
        <v>10</v>
      </c>
      <c r="W9" s="7">
        <v>7</v>
      </c>
      <c r="X9" s="7">
        <v>4</v>
      </c>
      <c r="Y9" s="7" t="s">
        <v>16</v>
      </c>
      <c r="Z9" s="48">
        <v>1</v>
      </c>
      <c r="AA9" s="15">
        <v>159</v>
      </c>
      <c r="AB9" s="7">
        <v>131</v>
      </c>
      <c r="AC9" s="7" t="s">
        <v>16</v>
      </c>
      <c r="AD9" s="7" t="s">
        <v>16</v>
      </c>
      <c r="AE9" s="7">
        <v>1</v>
      </c>
      <c r="AF9" s="48" t="s">
        <v>16</v>
      </c>
      <c r="AG9" s="37"/>
    </row>
    <row r="10" spans="1:33" ht="15" customHeight="1">
      <c r="A10" s="70">
        <v>5</v>
      </c>
      <c r="B10" s="24">
        <v>1042</v>
      </c>
      <c r="C10" s="14">
        <v>130</v>
      </c>
      <c r="D10" s="34">
        <v>22</v>
      </c>
      <c r="E10" s="7">
        <v>26</v>
      </c>
      <c r="F10" s="34">
        <v>221</v>
      </c>
      <c r="G10" s="35">
        <f t="shared" si="0"/>
        <v>52</v>
      </c>
      <c r="H10" s="15">
        <v>8</v>
      </c>
      <c r="I10" s="7">
        <f>19+1</f>
        <v>20</v>
      </c>
      <c r="J10" s="7" t="s">
        <v>16</v>
      </c>
      <c r="K10" s="7" t="s">
        <v>16</v>
      </c>
      <c r="L10" s="102" t="s">
        <v>16</v>
      </c>
      <c r="M10" s="15">
        <v>56</v>
      </c>
      <c r="N10" s="7">
        <v>7</v>
      </c>
      <c r="O10" s="7">
        <v>12</v>
      </c>
      <c r="P10" s="7">
        <v>6</v>
      </c>
      <c r="Q10" s="18" t="s">
        <v>16</v>
      </c>
      <c r="R10" s="90" t="s">
        <v>16</v>
      </c>
      <c r="S10" s="88">
        <v>126</v>
      </c>
      <c r="T10" s="48">
        <v>144</v>
      </c>
      <c r="U10" s="15">
        <v>7</v>
      </c>
      <c r="V10" s="7">
        <v>11</v>
      </c>
      <c r="W10" s="7" t="s">
        <v>16</v>
      </c>
      <c r="X10" s="7">
        <v>8</v>
      </c>
      <c r="Y10" s="7" t="s">
        <v>16</v>
      </c>
      <c r="Z10" s="48" t="s">
        <v>16</v>
      </c>
      <c r="AA10" s="15">
        <v>127</v>
      </c>
      <c r="AB10" s="7">
        <v>127</v>
      </c>
      <c r="AC10" s="7" t="s">
        <v>16</v>
      </c>
      <c r="AD10" s="7">
        <v>3</v>
      </c>
      <c r="AE10" s="7" t="s">
        <v>16</v>
      </c>
      <c r="AF10" s="48" t="s">
        <v>16</v>
      </c>
      <c r="AG10" s="37"/>
    </row>
    <row r="11" spans="1:33" ht="15" customHeight="1">
      <c r="A11" s="71">
        <v>6</v>
      </c>
      <c r="B11" s="25"/>
      <c r="C11" s="26">
        <v>231</v>
      </c>
      <c r="D11" s="27">
        <v>4</v>
      </c>
      <c r="E11" s="6">
        <v>7</v>
      </c>
      <c r="F11" s="27">
        <v>218</v>
      </c>
      <c r="G11" s="28">
        <f t="shared" si="0"/>
        <v>51.294117647058826</v>
      </c>
      <c r="H11" s="29" t="s">
        <v>16</v>
      </c>
      <c r="I11" s="6" t="s">
        <v>16</v>
      </c>
      <c r="J11" s="6" t="s">
        <v>16</v>
      </c>
      <c r="K11" s="6" t="s">
        <v>16</v>
      </c>
      <c r="L11" s="103" t="s">
        <v>16</v>
      </c>
      <c r="M11" s="29">
        <v>17</v>
      </c>
      <c r="N11" s="6">
        <v>2</v>
      </c>
      <c r="O11" s="6" t="s">
        <v>16</v>
      </c>
      <c r="P11" s="6" t="s">
        <v>16</v>
      </c>
      <c r="Q11" s="30" t="s">
        <v>16</v>
      </c>
      <c r="R11" s="91" t="s">
        <v>16</v>
      </c>
      <c r="S11" s="89" t="s">
        <v>16</v>
      </c>
      <c r="T11" s="49">
        <v>30</v>
      </c>
      <c r="U11" s="29" t="s">
        <v>16</v>
      </c>
      <c r="V11" s="6"/>
      <c r="W11" s="6"/>
      <c r="X11" s="6"/>
      <c r="Y11" s="6" t="s">
        <v>16</v>
      </c>
      <c r="Z11" s="49" t="s">
        <v>16</v>
      </c>
      <c r="AA11" s="29" t="s">
        <v>16</v>
      </c>
      <c r="AB11" s="6">
        <v>17</v>
      </c>
      <c r="AC11" s="6" t="s">
        <v>16</v>
      </c>
      <c r="AD11" s="6" t="s">
        <v>16</v>
      </c>
      <c r="AE11" s="6" t="s">
        <v>16</v>
      </c>
      <c r="AF11" s="49" t="s">
        <v>16</v>
      </c>
      <c r="AG11" s="37"/>
    </row>
    <row r="12" spans="1:33" ht="15" customHeight="1">
      <c r="A12" s="70">
        <v>7</v>
      </c>
      <c r="B12" s="24">
        <v>1300</v>
      </c>
      <c r="C12" s="14">
        <v>164</v>
      </c>
      <c r="D12" s="34">
        <v>50</v>
      </c>
      <c r="E12" s="7">
        <v>48</v>
      </c>
      <c r="F12" s="34">
        <v>220</v>
      </c>
      <c r="G12" s="35">
        <f t="shared" si="0"/>
        <v>51.76470588235294</v>
      </c>
      <c r="H12" s="15">
        <v>6</v>
      </c>
      <c r="I12" s="7">
        <f>27+2</f>
        <v>29</v>
      </c>
      <c r="J12" s="7">
        <v>3</v>
      </c>
      <c r="K12" s="7">
        <v>3</v>
      </c>
      <c r="L12" s="102">
        <v>2</v>
      </c>
      <c r="M12" s="86">
        <v>62</v>
      </c>
      <c r="N12" s="44">
        <v>18</v>
      </c>
      <c r="O12" s="7">
        <v>15</v>
      </c>
      <c r="P12" s="7">
        <v>7</v>
      </c>
      <c r="Q12" s="18" t="s">
        <v>16</v>
      </c>
      <c r="R12" s="90" t="s">
        <v>16</v>
      </c>
      <c r="S12" s="88">
        <v>113</v>
      </c>
      <c r="T12" s="48">
        <v>242</v>
      </c>
      <c r="U12" s="15">
        <v>3</v>
      </c>
      <c r="V12" s="7">
        <v>1</v>
      </c>
      <c r="W12" s="7">
        <v>16</v>
      </c>
      <c r="X12" s="7">
        <v>6</v>
      </c>
      <c r="Y12" s="7">
        <v>1</v>
      </c>
      <c r="Z12" s="48">
        <v>1</v>
      </c>
      <c r="AA12" s="15">
        <v>162</v>
      </c>
      <c r="AB12" s="7">
        <v>128</v>
      </c>
      <c r="AC12" s="7">
        <v>1</v>
      </c>
      <c r="AD12" s="7">
        <v>4</v>
      </c>
      <c r="AE12" s="7">
        <v>3</v>
      </c>
      <c r="AF12" s="48" t="s">
        <v>16</v>
      </c>
      <c r="AG12" s="37"/>
    </row>
    <row r="13" spans="1:33" ht="15" customHeight="1">
      <c r="A13" s="70">
        <v>8</v>
      </c>
      <c r="B13" s="24">
        <v>1094</v>
      </c>
      <c r="C13" s="14">
        <v>156</v>
      </c>
      <c r="D13" s="34">
        <v>39</v>
      </c>
      <c r="E13" s="7">
        <v>19</v>
      </c>
      <c r="F13" s="34">
        <v>240</v>
      </c>
      <c r="G13" s="35">
        <f t="shared" si="0"/>
        <v>56.470588235294116</v>
      </c>
      <c r="H13" s="15">
        <v>8</v>
      </c>
      <c r="I13" s="7">
        <f>21+3</f>
        <v>24</v>
      </c>
      <c r="J13" s="7" t="s">
        <v>16</v>
      </c>
      <c r="K13" s="7">
        <v>2</v>
      </c>
      <c r="L13" s="102">
        <v>1</v>
      </c>
      <c r="M13" s="15">
        <v>63</v>
      </c>
      <c r="N13" s="7">
        <v>18</v>
      </c>
      <c r="O13" s="7">
        <v>17</v>
      </c>
      <c r="P13" s="7">
        <v>4</v>
      </c>
      <c r="Q13" s="18" t="s">
        <v>16</v>
      </c>
      <c r="R13" s="90" t="s">
        <v>16</v>
      </c>
      <c r="S13" s="88">
        <v>113</v>
      </c>
      <c r="T13" s="48">
        <v>267</v>
      </c>
      <c r="U13" s="15">
        <v>2</v>
      </c>
      <c r="V13" s="7">
        <v>5</v>
      </c>
      <c r="W13" s="7">
        <v>12</v>
      </c>
      <c r="X13" s="7">
        <v>4</v>
      </c>
      <c r="Y13" s="7" t="s">
        <v>16</v>
      </c>
      <c r="Z13" s="48">
        <v>2</v>
      </c>
      <c r="AA13" s="15">
        <v>148</v>
      </c>
      <c r="AB13" s="7">
        <v>165</v>
      </c>
      <c r="AC13" s="7" t="s">
        <v>16</v>
      </c>
      <c r="AD13" s="7">
        <v>2</v>
      </c>
      <c r="AE13" s="7">
        <v>2</v>
      </c>
      <c r="AF13" s="48" t="s">
        <v>16</v>
      </c>
      <c r="AG13" s="37"/>
    </row>
    <row r="14" spans="1:33" ht="15" customHeight="1">
      <c r="A14" s="70">
        <v>9</v>
      </c>
      <c r="B14" s="24">
        <v>1143</v>
      </c>
      <c r="C14" s="14">
        <v>152</v>
      </c>
      <c r="D14" s="34">
        <v>39</v>
      </c>
      <c r="E14" s="7">
        <v>36</v>
      </c>
      <c r="F14" s="34">
        <v>243</v>
      </c>
      <c r="G14" s="35">
        <f t="shared" si="0"/>
        <v>57.1764705882353</v>
      </c>
      <c r="H14" s="15">
        <v>11</v>
      </c>
      <c r="I14" s="7">
        <f>24+6</f>
        <v>30</v>
      </c>
      <c r="J14" s="7">
        <v>8</v>
      </c>
      <c r="K14" s="7">
        <v>4</v>
      </c>
      <c r="L14" s="102" t="s">
        <v>16</v>
      </c>
      <c r="M14" s="15">
        <v>68</v>
      </c>
      <c r="N14" s="7">
        <v>14</v>
      </c>
      <c r="O14" s="7">
        <v>18</v>
      </c>
      <c r="P14" s="7">
        <v>4</v>
      </c>
      <c r="Q14" s="18" t="s">
        <v>16</v>
      </c>
      <c r="R14" s="90" t="s">
        <v>16</v>
      </c>
      <c r="S14" s="88">
        <v>145</v>
      </c>
      <c r="T14" s="48">
        <v>333</v>
      </c>
      <c r="U14" s="15">
        <v>4</v>
      </c>
      <c r="V14" s="7">
        <v>6</v>
      </c>
      <c r="W14" s="7">
        <v>13</v>
      </c>
      <c r="X14" s="7">
        <v>10</v>
      </c>
      <c r="Y14" s="7" t="s">
        <v>16</v>
      </c>
      <c r="Z14" s="48">
        <v>5</v>
      </c>
      <c r="AA14" s="15">
        <v>111</v>
      </c>
      <c r="AB14" s="7">
        <v>162</v>
      </c>
      <c r="AC14" s="7">
        <v>2</v>
      </c>
      <c r="AD14" s="7">
        <v>5</v>
      </c>
      <c r="AE14" s="7">
        <v>2</v>
      </c>
      <c r="AF14" s="48" t="s">
        <v>16</v>
      </c>
      <c r="AG14" s="37"/>
    </row>
    <row r="15" spans="1:33" ht="15" customHeight="1">
      <c r="A15" s="70">
        <v>10</v>
      </c>
      <c r="B15" s="24">
        <v>1054</v>
      </c>
      <c r="C15" s="14">
        <v>129</v>
      </c>
      <c r="D15" s="34">
        <v>44</v>
      </c>
      <c r="E15" s="7">
        <v>36</v>
      </c>
      <c r="F15" s="34">
        <v>251</v>
      </c>
      <c r="G15" s="35">
        <f t="shared" si="0"/>
        <v>59.05882352941177</v>
      </c>
      <c r="H15" s="15">
        <v>9</v>
      </c>
      <c r="I15" s="7">
        <f>20+4</f>
        <v>24</v>
      </c>
      <c r="J15" s="7" t="s">
        <v>16</v>
      </c>
      <c r="K15" s="7" t="s">
        <v>16</v>
      </c>
      <c r="L15" s="102">
        <v>1</v>
      </c>
      <c r="M15" s="15">
        <v>70</v>
      </c>
      <c r="N15" s="7">
        <v>13</v>
      </c>
      <c r="O15" s="7">
        <v>15</v>
      </c>
      <c r="P15" s="7">
        <v>6</v>
      </c>
      <c r="Q15" s="18" t="s">
        <v>16</v>
      </c>
      <c r="R15" s="90" t="s">
        <v>16</v>
      </c>
      <c r="S15" s="88">
        <v>174</v>
      </c>
      <c r="T15" s="48">
        <v>196</v>
      </c>
      <c r="U15" s="15">
        <v>3</v>
      </c>
      <c r="V15" s="7">
        <v>5</v>
      </c>
      <c r="W15" s="7">
        <v>16</v>
      </c>
      <c r="X15" s="7">
        <v>3</v>
      </c>
      <c r="Y15" s="7">
        <v>1</v>
      </c>
      <c r="Z15" s="48" t="s">
        <v>16</v>
      </c>
      <c r="AA15" s="15">
        <v>205</v>
      </c>
      <c r="AB15" s="7">
        <v>133</v>
      </c>
      <c r="AC15" s="7">
        <v>2</v>
      </c>
      <c r="AD15" s="7">
        <v>1</v>
      </c>
      <c r="AE15" s="7">
        <v>4</v>
      </c>
      <c r="AF15" s="48">
        <v>1</v>
      </c>
      <c r="AG15" s="37"/>
    </row>
    <row r="16" spans="1:33" ht="15" customHeight="1">
      <c r="A16" s="70">
        <v>11</v>
      </c>
      <c r="B16" s="24">
        <v>862</v>
      </c>
      <c r="C16" s="14">
        <v>126</v>
      </c>
      <c r="D16" s="34">
        <v>25</v>
      </c>
      <c r="E16" s="7">
        <v>25</v>
      </c>
      <c r="F16" s="34">
        <v>251</v>
      </c>
      <c r="G16" s="35">
        <f t="shared" si="0"/>
        <v>59.05882352941177</v>
      </c>
      <c r="H16" s="15">
        <v>6</v>
      </c>
      <c r="I16" s="7">
        <f>15+5</f>
        <v>20</v>
      </c>
      <c r="J16" s="7" t="s">
        <v>16</v>
      </c>
      <c r="K16" s="7">
        <v>2</v>
      </c>
      <c r="L16" s="102" t="s">
        <v>16</v>
      </c>
      <c r="M16" s="15">
        <v>35</v>
      </c>
      <c r="N16" s="7">
        <v>7</v>
      </c>
      <c r="O16" s="7">
        <v>10</v>
      </c>
      <c r="P16" s="7">
        <v>6</v>
      </c>
      <c r="Q16" s="18" t="s">
        <v>16</v>
      </c>
      <c r="R16" s="90" t="s">
        <v>16</v>
      </c>
      <c r="S16" s="88">
        <v>143</v>
      </c>
      <c r="T16" s="48">
        <v>166</v>
      </c>
      <c r="U16" s="15">
        <v>6</v>
      </c>
      <c r="V16" s="7">
        <v>10</v>
      </c>
      <c r="W16" s="7">
        <v>7</v>
      </c>
      <c r="X16" s="7">
        <v>3</v>
      </c>
      <c r="Y16" s="7" t="s">
        <v>16</v>
      </c>
      <c r="Z16" s="48">
        <v>5</v>
      </c>
      <c r="AA16" s="15">
        <v>143</v>
      </c>
      <c r="AB16" s="7">
        <v>129</v>
      </c>
      <c r="AC16" s="7">
        <v>6</v>
      </c>
      <c r="AD16" s="7">
        <v>1</v>
      </c>
      <c r="AE16" s="7">
        <v>3</v>
      </c>
      <c r="AF16" s="48">
        <v>1</v>
      </c>
      <c r="AG16" s="37"/>
    </row>
    <row r="17" spans="1:33" ht="15" customHeight="1">
      <c r="A17" s="70">
        <v>12</v>
      </c>
      <c r="B17" s="24">
        <v>1219</v>
      </c>
      <c r="C17" s="14">
        <v>175</v>
      </c>
      <c r="D17" s="34">
        <v>32</v>
      </c>
      <c r="E17" s="7">
        <v>32</v>
      </c>
      <c r="F17" s="34">
        <v>251</v>
      </c>
      <c r="G17" s="35">
        <f t="shared" si="0"/>
        <v>59.05882352941177</v>
      </c>
      <c r="H17" s="15">
        <v>10</v>
      </c>
      <c r="I17" s="7">
        <v>27</v>
      </c>
      <c r="J17" s="7" t="s">
        <v>16</v>
      </c>
      <c r="K17" s="7">
        <v>2</v>
      </c>
      <c r="L17" s="102">
        <v>2</v>
      </c>
      <c r="M17" s="15">
        <v>69</v>
      </c>
      <c r="N17" s="7">
        <v>9</v>
      </c>
      <c r="O17" s="7">
        <v>15</v>
      </c>
      <c r="P17" s="7">
        <v>4</v>
      </c>
      <c r="Q17" s="18" t="s">
        <v>16</v>
      </c>
      <c r="R17" s="90" t="s">
        <v>16</v>
      </c>
      <c r="S17" s="88">
        <v>87</v>
      </c>
      <c r="T17" s="48">
        <v>184</v>
      </c>
      <c r="U17" s="15">
        <v>4</v>
      </c>
      <c r="V17" s="7">
        <v>5</v>
      </c>
      <c r="W17" s="7">
        <v>9</v>
      </c>
      <c r="X17" s="7">
        <v>4</v>
      </c>
      <c r="Y17" s="7" t="s">
        <v>16</v>
      </c>
      <c r="Z17" s="48">
        <v>2</v>
      </c>
      <c r="AA17" s="15">
        <v>98</v>
      </c>
      <c r="AB17" s="7">
        <v>73</v>
      </c>
      <c r="AC17" s="7" t="s">
        <v>16</v>
      </c>
      <c r="AD17" s="7" t="s">
        <v>16</v>
      </c>
      <c r="AE17" s="7">
        <v>4</v>
      </c>
      <c r="AF17" s="48">
        <v>1</v>
      </c>
      <c r="AG17" s="37"/>
    </row>
    <row r="18" spans="1:33" ht="15" customHeight="1">
      <c r="A18" s="71">
        <v>13</v>
      </c>
      <c r="B18" s="25"/>
      <c r="C18" s="26">
        <v>198</v>
      </c>
      <c r="D18" s="27">
        <v>10</v>
      </c>
      <c r="E18" s="6">
        <v>6</v>
      </c>
      <c r="F18" s="27">
        <v>255</v>
      </c>
      <c r="G18" s="28">
        <f t="shared" si="0"/>
        <v>60</v>
      </c>
      <c r="H18" s="29" t="s">
        <v>16</v>
      </c>
      <c r="I18" s="6" t="s">
        <v>16</v>
      </c>
      <c r="J18" s="6" t="s">
        <v>16</v>
      </c>
      <c r="K18" s="6" t="s">
        <v>16</v>
      </c>
      <c r="L18" s="103" t="s">
        <v>16</v>
      </c>
      <c r="M18" s="29">
        <v>9</v>
      </c>
      <c r="N18" s="6">
        <v>2</v>
      </c>
      <c r="O18" s="6" t="s">
        <v>16</v>
      </c>
      <c r="P18" s="6" t="s">
        <v>16</v>
      </c>
      <c r="Q18" s="30" t="s">
        <v>16</v>
      </c>
      <c r="R18" s="91" t="s">
        <v>16</v>
      </c>
      <c r="S18" s="89" t="s">
        <v>16</v>
      </c>
      <c r="T18" s="49">
        <v>32</v>
      </c>
      <c r="U18" s="29" t="s">
        <v>16</v>
      </c>
      <c r="V18" s="6"/>
      <c r="W18" s="6" t="s">
        <v>16</v>
      </c>
      <c r="X18" s="6" t="s">
        <v>16</v>
      </c>
      <c r="Y18" s="6" t="s">
        <v>16</v>
      </c>
      <c r="Z18" s="49" t="s">
        <v>16</v>
      </c>
      <c r="AA18" s="29" t="s">
        <v>16</v>
      </c>
      <c r="AB18" s="6">
        <v>9</v>
      </c>
      <c r="AC18" s="6" t="s">
        <v>16</v>
      </c>
      <c r="AD18" s="6" t="s">
        <v>16</v>
      </c>
      <c r="AE18" s="6" t="s">
        <v>16</v>
      </c>
      <c r="AF18" s="49" t="s">
        <v>16</v>
      </c>
      <c r="AG18" s="37"/>
    </row>
    <row r="19" spans="1:33" ht="15" customHeight="1">
      <c r="A19" s="70">
        <v>14</v>
      </c>
      <c r="B19" s="24">
        <v>1368</v>
      </c>
      <c r="C19" s="14">
        <v>155</v>
      </c>
      <c r="D19" s="34">
        <v>56</v>
      </c>
      <c r="E19" s="7">
        <v>40</v>
      </c>
      <c r="F19" s="34">
        <v>271</v>
      </c>
      <c r="G19" s="35">
        <f t="shared" si="0"/>
        <v>63.76470588235294</v>
      </c>
      <c r="H19" s="15">
        <v>5</v>
      </c>
      <c r="I19" s="7">
        <f>27+3</f>
        <v>30</v>
      </c>
      <c r="J19" s="7">
        <v>1</v>
      </c>
      <c r="K19" s="7">
        <v>3</v>
      </c>
      <c r="L19" s="102">
        <v>1</v>
      </c>
      <c r="M19" s="15">
        <v>78</v>
      </c>
      <c r="N19" s="7">
        <v>14</v>
      </c>
      <c r="O19" s="7">
        <v>20</v>
      </c>
      <c r="P19" s="7">
        <v>6</v>
      </c>
      <c r="Q19" s="18" t="s">
        <v>16</v>
      </c>
      <c r="R19" s="90" t="s">
        <v>16</v>
      </c>
      <c r="S19" s="88">
        <v>99</v>
      </c>
      <c r="T19" s="48">
        <v>263</v>
      </c>
      <c r="U19" s="15">
        <v>4</v>
      </c>
      <c r="V19" s="7">
        <v>9</v>
      </c>
      <c r="W19" s="7">
        <v>13</v>
      </c>
      <c r="X19" s="7">
        <v>9</v>
      </c>
      <c r="Y19" s="7" t="s">
        <v>16</v>
      </c>
      <c r="Z19" s="48">
        <v>2</v>
      </c>
      <c r="AA19" s="15">
        <v>197</v>
      </c>
      <c r="AB19" s="7">
        <v>193</v>
      </c>
      <c r="AC19" s="7">
        <v>1</v>
      </c>
      <c r="AD19" s="7">
        <v>7</v>
      </c>
      <c r="AE19" s="7">
        <v>2</v>
      </c>
      <c r="AF19" s="48" t="s">
        <v>16</v>
      </c>
      <c r="AG19" s="37"/>
    </row>
    <row r="20" spans="1:33" ht="15" customHeight="1">
      <c r="A20" s="70">
        <v>15</v>
      </c>
      <c r="B20" s="24">
        <v>1073</v>
      </c>
      <c r="C20" s="14">
        <v>144</v>
      </c>
      <c r="D20" s="34">
        <v>43</v>
      </c>
      <c r="E20" s="7">
        <v>28</v>
      </c>
      <c r="F20" s="34">
        <v>286</v>
      </c>
      <c r="G20" s="35">
        <f t="shared" si="0"/>
        <v>67.29411764705883</v>
      </c>
      <c r="H20" s="15">
        <v>10</v>
      </c>
      <c r="I20" s="7">
        <v>21</v>
      </c>
      <c r="J20" s="7" t="s">
        <v>16</v>
      </c>
      <c r="K20" s="7">
        <v>4</v>
      </c>
      <c r="L20" s="102" t="s">
        <v>16</v>
      </c>
      <c r="M20" s="15">
        <v>72</v>
      </c>
      <c r="N20" s="7">
        <v>17</v>
      </c>
      <c r="O20" s="7">
        <v>13</v>
      </c>
      <c r="P20" s="7">
        <v>15</v>
      </c>
      <c r="Q20" s="18" t="s">
        <v>16</v>
      </c>
      <c r="R20" s="90" t="s">
        <v>16</v>
      </c>
      <c r="S20" s="88">
        <v>179</v>
      </c>
      <c r="T20" s="48">
        <v>279</v>
      </c>
      <c r="U20" s="15">
        <v>3</v>
      </c>
      <c r="V20" s="7">
        <v>10</v>
      </c>
      <c r="W20" s="7">
        <v>3</v>
      </c>
      <c r="X20" s="7">
        <v>5</v>
      </c>
      <c r="Y20" s="7">
        <v>1</v>
      </c>
      <c r="Z20" s="48">
        <v>2</v>
      </c>
      <c r="AA20" s="15">
        <v>180</v>
      </c>
      <c r="AB20" s="7">
        <v>181</v>
      </c>
      <c r="AC20" s="7" t="s">
        <v>16</v>
      </c>
      <c r="AD20" s="7" t="s">
        <v>16</v>
      </c>
      <c r="AE20" s="7">
        <v>2</v>
      </c>
      <c r="AF20" s="48" t="s">
        <v>16</v>
      </c>
      <c r="AG20" s="37"/>
    </row>
    <row r="21" spans="1:33" ht="15" customHeight="1">
      <c r="A21" s="70">
        <v>16</v>
      </c>
      <c r="B21" s="24">
        <v>1072</v>
      </c>
      <c r="C21" s="14">
        <v>143</v>
      </c>
      <c r="D21" s="34">
        <v>44</v>
      </c>
      <c r="E21" s="7">
        <v>33</v>
      </c>
      <c r="F21" s="34">
        <v>297</v>
      </c>
      <c r="G21" s="35">
        <f t="shared" si="0"/>
        <v>69.88235294117646</v>
      </c>
      <c r="H21" s="15">
        <v>10</v>
      </c>
      <c r="I21" s="7">
        <f>21+4</f>
        <v>25</v>
      </c>
      <c r="J21" s="7">
        <v>2</v>
      </c>
      <c r="K21" s="7">
        <v>2</v>
      </c>
      <c r="L21" s="102">
        <v>1</v>
      </c>
      <c r="M21" s="15">
        <v>64</v>
      </c>
      <c r="N21" s="7">
        <v>15</v>
      </c>
      <c r="O21" s="7">
        <v>17</v>
      </c>
      <c r="P21" s="7">
        <v>7</v>
      </c>
      <c r="Q21" s="18" t="s">
        <v>16</v>
      </c>
      <c r="R21" s="90" t="s">
        <v>16</v>
      </c>
      <c r="S21" s="92">
        <v>203</v>
      </c>
      <c r="T21" s="48">
        <v>258</v>
      </c>
      <c r="U21" s="15">
        <v>8</v>
      </c>
      <c r="V21" s="7">
        <v>12</v>
      </c>
      <c r="W21" s="7">
        <v>4</v>
      </c>
      <c r="X21" s="7">
        <v>6</v>
      </c>
      <c r="Y21" s="7" t="s">
        <v>16</v>
      </c>
      <c r="Z21" s="48">
        <v>2</v>
      </c>
      <c r="AA21" s="15">
        <v>179</v>
      </c>
      <c r="AB21" s="7">
        <v>181</v>
      </c>
      <c r="AC21" s="7">
        <v>2</v>
      </c>
      <c r="AD21" s="7">
        <v>9</v>
      </c>
      <c r="AE21" s="7">
        <v>3</v>
      </c>
      <c r="AF21" s="48" t="s">
        <v>16</v>
      </c>
      <c r="AG21" s="37"/>
    </row>
    <row r="22" spans="1:33" ht="15" customHeight="1">
      <c r="A22" s="70">
        <v>17</v>
      </c>
      <c r="B22" s="24">
        <v>1116</v>
      </c>
      <c r="C22" s="14">
        <v>107</v>
      </c>
      <c r="D22" s="34">
        <v>42</v>
      </c>
      <c r="E22" s="7">
        <v>44</v>
      </c>
      <c r="F22" s="34">
        <v>295</v>
      </c>
      <c r="G22" s="35">
        <f t="shared" si="0"/>
        <v>69.41176470588235</v>
      </c>
      <c r="H22" s="15">
        <v>12</v>
      </c>
      <c r="I22" s="7">
        <f>21+1</f>
        <v>22</v>
      </c>
      <c r="J22" s="7" t="s">
        <v>16</v>
      </c>
      <c r="K22" s="7">
        <v>6</v>
      </c>
      <c r="L22" s="102">
        <v>1</v>
      </c>
      <c r="M22" s="15">
        <v>38</v>
      </c>
      <c r="N22" s="7">
        <v>8</v>
      </c>
      <c r="O22" s="7">
        <v>18</v>
      </c>
      <c r="P22" s="7">
        <v>4</v>
      </c>
      <c r="Q22" s="18" t="s">
        <v>16</v>
      </c>
      <c r="R22" s="90" t="s">
        <v>16</v>
      </c>
      <c r="S22" s="88">
        <v>143</v>
      </c>
      <c r="T22" s="48">
        <v>203</v>
      </c>
      <c r="U22" s="15">
        <v>4</v>
      </c>
      <c r="V22" s="7">
        <v>12</v>
      </c>
      <c r="W22" s="7">
        <v>16</v>
      </c>
      <c r="X22" s="7">
        <v>2</v>
      </c>
      <c r="Y22" s="7">
        <v>1</v>
      </c>
      <c r="Z22" s="48">
        <v>4</v>
      </c>
      <c r="AA22" s="15">
        <v>184</v>
      </c>
      <c r="AB22" s="7">
        <v>154</v>
      </c>
      <c r="AC22" s="7" t="s">
        <v>16</v>
      </c>
      <c r="AD22" s="7" t="s">
        <v>16</v>
      </c>
      <c r="AE22" s="7">
        <v>1</v>
      </c>
      <c r="AF22" s="48" t="s">
        <v>16</v>
      </c>
      <c r="AG22" s="37"/>
    </row>
    <row r="23" spans="1:33" ht="15" customHeight="1">
      <c r="A23" s="70">
        <v>18</v>
      </c>
      <c r="B23" s="24">
        <v>800</v>
      </c>
      <c r="C23" s="14">
        <v>133</v>
      </c>
      <c r="D23" s="34">
        <v>32</v>
      </c>
      <c r="E23" s="7">
        <v>29</v>
      </c>
      <c r="F23" s="34">
        <v>298</v>
      </c>
      <c r="G23" s="35">
        <f t="shared" si="0"/>
        <v>70.11764705882354</v>
      </c>
      <c r="H23" s="15">
        <v>12</v>
      </c>
      <c r="I23" s="7">
        <f>17+5</f>
        <v>22</v>
      </c>
      <c r="J23" s="7" t="s">
        <v>16</v>
      </c>
      <c r="K23" s="7">
        <v>2</v>
      </c>
      <c r="L23" s="102">
        <v>1</v>
      </c>
      <c r="M23" s="15">
        <v>38</v>
      </c>
      <c r="N23" s="7">
        <v>18</v>
      </c>
      <c r="O23" s="7">
        <v>16</v>
      </c>
      <c r="P23" s="7">
        <v>8</v>
      </c>
      <c r="Q23" s="18" t="s">
        <v>16</v>
      </c>
      <c r="R23" s="90" t="s">
        <v>16</v>
      </c>
      <c r="S23" s="88">
        <v>120</v>
      </c>
      <c r="T23" s="48">
        <v>192</v>
      </c>
      <c r="U23" s="15">
        <v>7</v>
      </c>
      <c r="V23" s="7" t="s">
        <v>16</v>
      </c>
      <c r="W23" s="7">
        <v>8</v>
      </c>
      <c r="X23" s="7">
        <v>9</v>
      </c>
      <c r="Y23" s="7">
        <v>2</v>
      </c>
      <c r="Z23" s="48" t="s">
        <v>16</v>
      </c>
      <c r="AA23" s="15">
        <v>179</v>
      </c>
      <c r="AB23" s="7">
        <v>176</v>
      </c>
      <c r="AC23" s="7">
        <v>1</v>
      </c>
      <c r="AD23" s="7">
        <v>6</v>
      </c>
      <c r="AE23" s="7">
        <v>2</v>
      </c>
      <c r="AF23" s="48">
        <v>2</v>
      </c>
      <c r="AG23" s="37"/>
    </row>
    <row r="24" spans="1:33" ht="15" customHeight="1">
      <c r="A24" s="70">
        <v>19</v>
      </c>
      <c r="B24" s="24">
        <v>1027</v>
      </c>
      <c r="C24" s="14">
        <v>133</v>
      </c>
      <c r="D24" s="34">
        <v>35</v>
      </c>
      <c r="E24" s="7">
        <v>36</v>
      </c>
      <c r="F24" s="34">
        <v>297</v>
      </c>
      <c r="G24" s="35">
        <f t="shared" si="0"/>
        <v>69.88235294117646</v>
      </c>
      <c r="H24" s="15">
        <v>6</v>
      </c>
      <c r="I24" s="7">
        <f>20+3</f>
        <v>23</v>
      </c>
      <c r="J24" s="7" t="s">
        <v>16</v>
      </c>
      <c r="K24" s="7">
        <v>6</v>
      </c>
      <c r="L24" s="102">
        <v>1</v>
      </c>
      <c r="M24" s="15">
        <v>54</v>
      </c>
      <c r="N24" s="7">
        <v>8</v>
      </c>
      <c r="O24" s="7">
        <v>15</v>
      </c>
      <c r="P24" s="7">
        <v>6</v>
      </c>
      <c r="Q24" s="18" t="s">
        <v>16</v>
      </c>
      <c r="R24" s="90" t="s">
        <v>16</v>
      </c>
      <c r="S24" s="88">
        <v>70</v>
      </c>
      <c r="T24" s="48">
        <v>246</v>
      </c>
      <c r="U24" s="15">
        <v>4</v>
      </c>
      <c r="V24" s="7">
        <v>8</v>
      </c>
      <c r="W24" s="7">
        <v>8</v>
      </c>
      <c r="X24" s="7">
        <v>1</v>
      </c>
      <c r="Y24" s="7">
        <v>1</v>
      </c>
      <c r="Z24" s="48">
        <v>3</v>
      </c>
      <c r="AA24" s="15">
        <v>99</v>
      </c>
      <c r="AB24" s="7">
        <v>108</v>
      </c>
      <c r="AC24" s="7">
        <v>1</v>
      </c>
      <c r="AD24" s="7">
        <v>3</v>
      </c>
      <c r="AE24" s="7">
        <v>1</v>
      </c>
      <c r="AF24" s="48" t="s">
        <v>16</v>
      </c>
      <c r="AG24" s="37"/>
    </row>
    <row r="25" spans="1:33" ht="15" customHeight="1">
      <c r="A25" s="71">
        <v>20</v>
      </c>
      <c r="B25" s="25"/>
      <c r="C25" s="26">
        <v>221</v>
      </c>
      <c r="D25" s="27">
        <v>8</v>
      </c>
      <c r="E25" s="6">
        <v>10</v>
      </c>
      <c r="F25" s="27">
        <v>295</v>
      </c>
      <c r="G25" s="28">
        <f t="shared" si="0"/>
        <v>69.41176470588235</v>
      </c>
      <c r="H25" s="29" t="s">
        <v>16</v>
      </c>
      <c r="I25" s="6" t="s">
        <v>16</v>
      </c>
      <c r="J25" s="6" t="s">
        <v>16</v>
      </c>
      <c r="K25" s="6" t="s">
        <v>16</v>
      </c>
      <c r="L25" s="103" t="s">
        <v>16</v>
      </c>
      <c r="M25" s="29">
        <v>4</v>
      </c>
      <c r="N25" s="6">
        <v>2</v>
      </c>
      <c r="O25" s="6" t="s">
        <v>16</v>
      </c>
      <c r="P25" s="6" t="s">
        <v>16</v>
      </c>
      <c r="Q25" s="30" t="s">
        <v>16</v>
      </c>
      <c r="R25" s="91" t="s">
        <v>16</v>
      </c>
      <c r="S25" s="89" t="s">
        <v>16</v>
      </c>
      <c r="T25" s="49">
        <v>61</v>
      </c>
      <c r="U25" s="29" t="s">
        <v>16</v>
      </c>
      <c r="V25" s="6" t="s">
        <v>16</v>
      </c>
      <c r="W25" s="6" t="s">
        <v>16</v>
      </c>
      <c r="X25" s="6" t="s">
        <v>16</v>
      </c>
      <c r="Y25" s="6" t="s">
        <v>16</v>
      </c>
      <c r="Z25" s="49" t="s">
        <v>16</v>
      </c>
      <c r="AA25" s="29" t="s">
        <v>16</v>
      </c>
      <c r="AB25" s="6">
        <v>19</v>
      </c>
      <c r="AC25" s="6">
        <v>1</v>
      </c>
      <c r="AD25" s="6">
        <v>3</v>
      </c>
      <c r="AE25" s="6">
        <v>3</v>
      </c>
      <c r="AF25" s="49" t="s">
        <v>16</v>
      </c>
      <c r="AG25" s="37"/>
    </row>
    <row r="26" spans="1:33" ht="15" customHeight="1">
      <c r="A26" s="70">
        <v>21</v>
      </c>
      <c r="B26" s="24">
        <v>1229</v>
      </c>
      <c r="C26" s="14">
        <v>147</v>
      </c>
      <c r="D26" s="34">
        <v>52</v>
      </c>
      <c r="E26" s="7">
        <v>45</v>
      </c>
      <c r="F26" s="34">
        <v>302</v>
      </c>
      <c r="G26" s="35">
        <f t="shared" si="0"/>
        <v>71.05882352941177</v>
      </c>
      <c r="H26" s="15">
        <v>8</v>
      </c>
      <c r="I26" s="7">
        <f>28+1</f>
        <v>29</v>
      </c>
      <c r="J26" s="7">
        <v>2</v>
      </c>
      <c r="K26" s="7">
        <v>2</v>
      </c>
      <c r="L26" s="102">
        <v>1</v>
      </c>
      <c r="M26" s="15">
        <v>70</v>
      </c>
      <c r="N26" s="7">
        <v>13</v>
      </c>
      <c r="O26" s="7">
        <v>12</v>
      </c>
      <c r="P26" s="7">
        <v>9</v>
      </c>
      <c r="Q26" s="18" t="s">
        <v>16</v>
      </c>
      <c r="R26" s="90" t="s">
        <v>16</v>
      </c>
      <c r="S26" s="88">
        <v>100</v>
      </c>
      <c r="T26" s="48">
        <v>292</v>
      </c>
      <c r="U26" s="15">
        <v>6</v>
      </c>
      <c r="V26" s="7">
        <v>6</v>
      </c>
      <c r="W26" s="7">
        <v>8</v>
      </c>
      <c r="X26" s="7">
        <v>12</v>
      </c>
      <c r="Y26" s="7" t="s">
        <v>16</v>
      </c>
      <c r="Z26" s="48">
        <v>3</v>
      </c>
      <c r="AA26" s="15">
        <v>160</v>
      </c>
      <c r="AB26" s="7">
        <v>166</v>
      </c>
      <c r="AC26" s="7" t="s">
        <v>16</v>
      </c>
      <c r="AD26" s="7" t="s">
        <v>16</v>
      </c>
      <c r="AE26" s="7">
        <v>1</v>
      </c>
      <c r="AF26" s="48" t="s">
        <v>16</v>
      </c>
      <c r="AG26" s="37"/>
    </row>
    <row r="27" spans="1:33" ht="15" customHeight="1">
      <c r="A27" s="70">
        <v>22</v>
      </c>
      <c r="B27" s="24">
        <v>1022</v>
      </c>
      <c r="C27" s="14">
        <v>137</v>
      </c>
      <c r="D27" s="34">
        <v>54</v>
      </c>
      <c r="E27" s="7">
        <v>19</v>
      </c>
      <c r="F27" s="34">
        <v>337</v>
      </c>
      <c r="G27" s="35">
        <f t="shared" si="0"/>
        <v>79.29411764705883</v>
      </c>
      <c r="H27" s="15">
        <v>12</v>
      </c>
      <c r="I27" s="7">
        <f>24+1</f>
        <v>25</v>
      </c>
      <c r="J27" s="7" t="s">
        <v>16</v>
      </c>
      <c r="K27" s="7">
        <v>8</v>
      </c>
      <c r="L27" s="102">
        <v>1</v>
      </c>
      <c r="M27" s="15">
        <v>80</v>
      </c>
      <c r="N27" s="7">
        <v>17</v>
      </c>
      <c r="O27" s="7">
        <v>16</v>
      </c>
      <c r="P27" s="7">
        <v>3</v>
      </c>
      <c r="Q27" s="18" t="s">
        <v>16</v>
      </c>
      <c r="R27" s="90" t="s">
        <v>16</v>
      </c>
      <c r="S27" s="88">
        <v>115</v>
      </c>
      <c r="T27" s="48">
        <v>290</v>
      </c>
      <c r="U27" s="15">
        <v>6</v>
      </c>
      <c r="V27" s="7">
        <v>5</v>
      </c>
      <c r="W27" s="7">
        <v>8</v>
      </c>
      <c r="X27" s="7">
        <v>5</v>
      </c>
      <c r="Y27" s="7">
        <v>1</v>
      </c>
      <c r="Z27" s="48" t="s">
        <v>16</v>
      </c>
      <c r="AA27" s="15">
        <v>176</v>
      </c>
      <c r="AB27" s="7">
        <v>127</v>
      </c>
      <c r="AC27" s="7" t="s">
        <v>16</v>
      </c>
      <c r="AD27" s="7">
        <v>2</v>
      </c>
      <c r="AE27" s="7" t="s">
        <v>16</v>
      </c>
      <c r="AF27" s="48" t="s">
        <v>16</v>
      </c>
      <c r="AG27" s="37"/>
    </row>
    <row r="28" spans="1:33" ht="15" customHeight="1">
      <c r="A28" s="70">
        <v>23</v>
      </c>
      <c r="B28" s="24">
        <v>991</v>
      </c>
      <c r="C28" s="14">
        <v>123</v>
      </c>
      <c r="D28" s="34">
        <v>45</v>
      </c>
      <c r="E28" s="7">
        <v>31</v>
      </c>
      <c r="F28" s="34">
        <v>351</v>
      </c>
      <c r="G28" s="35">
        <f t="shared" si="0"/>
        <v>82.58823529411765</v>
      </c>
      <c r="H28" s="15">
        <v>13</v>
      </c>
      <c r="I28" s="7">
        <f>21+5</f>
        <v>26</v>
      </c>
      <c r="J28" s="7">
        <v>6</v>
      </c>
      <c r="K28" s="7">
        <v>4</v>
      </c>
      <c r="L28" s="102" t="s">
        <v>16</v>
      </c>
      <c r="M28" s="15">
        <v>57</v>
      </c>
      <c r="N28" s="7">
        <v>13</v>
      </c>
      <c r="O28" s="7">
        <v>17</v>
      </c>
      <c r="P28" s="7">
        <v>5</v>
      </c>
      <c r="Q28" s="18" t="s">
        <v>16</v>
      </c>
      <c r="R28" s="90" t="s">
        <v>16</v>
      </c>
      <c r="S28" s="88">
        <v>194</v>
      </c>
      <c r="T28" s="48">
        <v>299</v>
      </c>
      <c r="U28" s="15">
        <v>1</v>
      </c>
      <c r="V28" s="7">
        <v>15</v>
      </c>
      <c r="W28" s="7">
        <v>16</v>
      </c>
      <c r="X28" s="7">
        <v>11</v>
      </c>
      <c r="Y28" s="7" t="s">
        <v>16</v>
      </c>
      <c r="Z28" s="48" t="s">
        <v>16</v>
      </c>
      <c r="AA28" s="15">
        <v>208</v>
      </c>
      <c r="AB28" s="7">
        <v>172</v>
      </c>
      <c r="AC28" s="7" t="s">
        <v>16</v>
      </c>
      <c r="AD28" s="7">
        <v>1</v>
      </c>
      <c r="AE28" s="7">
        <v>4</v>
      </c>
      <c r="AF28" s="48" t="s">
        <v>16</v>
      </c>
      <c r="AG28" s="37"/>
    </row>
    <row r="29" spans="1:33" ht="15" customHeight="1">
      <c r="A29" s="70">
        <v>24</v>
      </c>
      <c r="B29" s="24">
        <v>939</v>
      </c>
      <c r="C29" s="14">
        <v>139</v>
      </c>
      <c r="D29" s="34">
        <v>44</v>
      </c>
      <c r="E29" s="7">
        <v>37</v>
      </c>
      <c r="F29" s="34">
        <v>358</v>
      </c>
      <c r="G29" s="35">
        <f t="shared" si="0"/>
        <v>84.23529411764706</v>
      </c>
      <c r="H29" s="15">
        <v>14</v>
      </c>
      <c r="I29" s="7">
        <f>20+1</f>
        <v>21</v>
      </c>
      <c r="J29" s="7" t="s">
        <v>16</v>
      </c>
      <c r="K29" s="7" t="s">
        <v>16</v>
      </c>
      <c r="L29" s="102">
        <v>2</v>
      </c>
      <c r="M29" s="15">
        <v>60</v>
      </c>
      <c r="N29" s="7">
        <v>15</v>
      </c>
      <c r="O29" s="7">
        <v>17</v>
      </c>
      <c r="P29" s="7">
        <v>6</v>
      </c>
      <c r="Q29" s="18" t="s">
        <v>16</v>
      </c>
      <c r="R29" s="90" t="s">
        <v>16</v>
      </c>
      <c r="S29" s="88">
        <v>141</v>
      </c>
      <c r="T29" s="48">
        <v>242</v>
      </c>
      <c r="U29" s="15">
        <v>3</v>
      </c>
      <c r="V29" s="7">
        <v>9</v>
      </c>
      <c r="W29" s="7">
        <v>25</v>
      </c>
      <c r="X29" s="7">
        <v>3</v>
      </c>
      <c r="Y29" s="7" t="s">
        <v>16</v>
      </c>
      <c r="Z29" s="48">
        <v>3</v>
      </c>
      <c r="AA29" s="15">
        <v>168</v>
      </c>
      <c r="AB29" s="7">
        <v>304</v>
      </c>
      <c r="AC29" s="7">
        <v>1</v>
      </c>
      <c r="AD29" s="7">
        <v>8</v>
      </c>
      <c r="AE29" s="7">
        <v>4</v>
      </c>
      <c r="AF29" s="48">
        <v>1</v>
      </c>
      <c r="AG29" s="37"/>
    </row>
    <row r="30" spans="1:33" ht="15" customHeight="1">
      <c r="A30" s="70">
        <v>25</v>
      </c>
      <c r="B30" s="24">
        <v>837</v>
      </c>
      <c r="C30" s="14">
        <v>129</v>
      </c>
      <c r="D30" s="34">
        <v>21</v>
      </c>
      <c r="E30" s="7">
        <v>48</v>
      </c>
      <c r="F30" s="34">
        <v>331</v>
      </c>
      <c r="G30" s="35">
        <f t="shared" si="0"/>
        <v>77.88235294117646</v>
      </c>
      <c r="H30" s="15">
        <v>13</v>
      </c>
      <c r="I30" s="7">
        <f>11+3</f>
        <v>14</v>
      </c>
      <c r="J30" s="7" t="s">
        <v>16</v>
      </c>
      <c r="K30" s="7">
        <v>1</v>
      </c>
      <c r="L30" s="102">
        <v>1</v>
      </c>
      <c r="M30" s="15">
        <v>37</v>
      </c>
      <c r="N30" s="7">
        <v>11</v>
      </c>
      <c r="O30" s="7">
        <v>14</v>
      </c>
      <c r="P30" s="7">
        <v>9</v>
      </c>
      <c r="Q30" s="18" t="s">
        <v>16</v>
      </c>
      <c r="R30" s="90" t="s">
        <v>16</v>
      </c>
      <c r="S30" s="88">
        <v>116</v>
      </c>
      <c r="T30" s="48">
        <v>182</v>
      </c>
      <c r="U30" s="15">
        <v>1</v>
      </c>
      <c r="V30" s="7">
        <v>17</v>
      </c>
      <c r="W30" s="7">
        <v>8</v>
      </c>
      <c r="X30" s="7">
        <v>4</v>
      </c>
      <c r="Y30" s="7" t="s">
        <v>16</v>
      </c>
      <c r="Z30" s="48">
        <v>1</v>
      </c>
      <c r="AA30" s="15">
        <v>136</v>
      </c>
      <c r="AB30" s="7">
        <v>143</v>
      </c>
      <c r="AC30" s="7">
        <v>1</v>
      </c>
      <c r="AD30" s="7">
        <v>3</v>
      </c>
      <c r="AE30" s="7" t="s">
        <v>16</v>
      </c>
      <c r="AF30" s="48" t="s">
        <v>16</v>
      </c>
      <c r="AG30" s="37"/>
    </row>
    <row r="31" spans="1:33" ht="15" customHeight="1">
      <c r="A31" s="70">
        <v>26</v>
      </c>
      <c r="B31" s="24">
        <v>1081</v>
      </c>
      <c r="C31" s="14">
        <v>139</v>
      </c>
      <c r="D31" s="34">
        <v>38</v>
      </c>
      <c r="E31" s="7">
        <v>35</v>
      </c>
      <c r="F31" s="34">
        <v>334</v>
      </c>
      <c r="G31" s="35">
        <f t="shared" si="0"/>
        <v>78.58823529411765</v>
      </c>
      <c r="H31" s="15">
        <v>7</v>
      </c>
      <c r="I31" s="7">
        <f>26+1</f>
        <v>27</v>
      </c>
      <c r="J31" s="7" t="s">
        <v>16</v>
      </c>
      <c r="K31" s="7">
        <v>1</v>
      </c>
      <c r="L31" s="102">
        <v>1</v>
      </c>
      <c r="M31" s="15">
        <v>57</v>
      </c>
      <c r="N31" s="7">
        <v>13</v>
      </c>
      <c r="O31" s="7">
        <v>12</v>
      </c>
      <c r="P31" s="7">
        <v>13</v>
      </c>
      <c r="Q31" s="18" t="s">
        <v>16</v>
      </c>
      <c r="R31" s="90" t="s">
        <v>16</v>
      </c>
      <c r="S31" s="92">
        <v>94</v>
      </c>
      <c r="T31" s="48">
        <v>247</v>
      </c>
      <c r="U31" s="15">
        <v>3</v>
      </c>
      <c r="V31" s="7">
        <v>7</v>
      </c>
      <c r="W31" s="7">
        <v>6</v>
      </c>
      <c r="X31" s="7">
        <v>8</v>
      </c>
      <c r="Y31" s="7" t="s">
        <v>16</v>
      </c>
      <c r="Z31" s="48" t="s">
        <v>16</v>
      </c>
      <c r="AA31" s="15">
        <v>153</v>
      </c>
      <c r="AB31" s="7">
        <v>176</v>
      </c>
      <c r="AC31" s="7">
        <v>2</v>
      </c>
      <c r="AD31" s="7" t="s">
        <v>16</v>
      </c>
      <c r="AE31" s="7">
        <v>1</v>
      </c>
      <c r="AF31" s="48" t="s">
        <v>16</v>
      </c>
      <c r="AG31" s="37"/>
    </row>
    <row r="32" spans="1:33" ht="15" customHeight="1">
      <c r="A32" s="71">
        <v>27</v>
      </c>
      <c r="B32" s="25"/>
      <c r="C32" s="26">
        <v>185</v>
      </c>
      <c r="D32" s="27">
        <v>9</v>
      </c>
      <c r="E32" s="6">
        <v>6</v>
      </c>
      <c r="F32" s="27">
        <v>337</v>
      </c>
      <c r="G32" s="28">
        <f t="shared" si="0"/>
        <v>79.29411764705883</v>
      </c>
      <c r="H32" s="29" t="s">
        <v>16</v>
      </c>
      <c r="I32" s="6" t="s">
        <v>16</v>
      </c>
      <c r="J32" s="6" t="s">
        <v>16</v>
      </c>
      <c r="K32" s="6">
        <v>2</v>
      </c>
      <c r="L32" s="103" t="s">
        <v>16</v>
      </c>
      <c r="M32" s="29">
        <v>8</v>
      </c>
      <c r="N32" s="6">
        <v>2</v>
      </c>
      <c r="O32" s="6" t="s">
        <v>16</v>
      </c>
      <c r="P32" s="6" t="s">
        <v>16</v>
      </c>
      <c r="Q32" s="30" t="s">
        <v>16</v>
      </c>
      <c r="R32" s="91" t="s">
        <v>16</v>
      </c>
      <c r="S32" s="89" t="s">
        <v>16</v>
      </c>
      <c r="T32" s="49">
        <v>84</v>
      </c>
      <c r="U32" s="29" t="s">
        <v>16</v>
      </c>
      <c r="V32" s="6" t="s">
        <v>16</v>
      </c>
      <c r="W32" s="6" t="s">
        <v>16</v>
      </c>
      <c r="X32" s="6" t="s">
        <v>16</v>
      </c>
      <c r="Y32" s="6" t="s">
        <v>16</v>
      </c>
      <c r="Z32" s="49" t="s">
        <v>16</v>
      </c>
      <c r="AA32" s="29" t="s">
        <v>16</v>
      </c>
      <c r="AB32" s="6">
        <v>26</v>
      </c>
      <c r="AC32" s="6" t="s">
        <v>16</v>
      </c>
      <c r="AD32" s="6" t="s">
        <v>16</v>
      </c>
      <c r="AE32" s="6" t="s">
        <v>16</v>
      </c>
      <c r="AF32" s="49" t="s">
        <v>16</v>
      </c>
      <c r="AG32" s="37"/>
    </row>
    <row r="33" spans="1:33" ht="15" customHeight="1">
      <c r="A33" s="77">
        <v>28</v>
      </c>
      <c r="B33" s="78">
        <v>1265</v>
      </c>
      <c r="C33" s="62">
        <v>127</v>
      </c>
      <c r="D33" s="79">
        <v>53</v>
      </c>
      <c r="E33" s="62">
        <v>35</v>
      </c>
      <c r="F33" s="79">
        <v>355</v>
      </c>
      <c r="G33" s="80">
        <f t="shared" si="0"/>
        <v>83.52941176470588</v>
      </c>
      <c r="H33" s="81">
        <v>11</v>
      </c>
      <c r="I33" s="62">
        <f>27+1</f>
        <v>28</v>
      </c>
      <c r="J33" s="62">
        <v>2</v>
      </c>
      <c r="K33" s="62">
        <v>4</v>
      </c>
      <c r="L33" s="104">
        <v>1</v>
      </c>
      <c r="M33" s="81">
        <v>57</v>
      </c>
      <c r="N33" s="62">
        <v>14</v>
      </c>
      <c r="O33" s="62">
        <v>10</v>
      </c>
      <c r="P33" s="62">
        <v>10</v>
      </c>
      <c r="Q33" s="82" t="s">
        <v>40</v>
      </c>
      <c r="R33" s="97" t="s">
        <v>16</v>
      </c>
      <c r="S33" s="93">
        <v>145</v>
      </c>
      <c r="T33" s="66">
        <v>196</v>
      </c>
      <c r="U33" s="81">
        <v>3</v>
      </c>
      <c r="V33" s="62">
        <v>10</v>
      </c>
      <c r="W33" s="62">
        <v>12</v>
      </c>
      <c r="X33" s="62">
        <v>2</v>
      </c>
      <c r="Y33" s="62" t="s">
        <v>16</v>
      </c>
      <c r="Z33" s="48">
        <v>3</v>
      </c>
      <c r="AA33" s="81">
        <v>250</v>
      </c>
      <c r="AB33" s="62">
        <v>165</v>
      </c>
      <c r="AC33" s="62" t="s">
        <v>16</v>
      </c>
      <c r="AD33" s="62">
        <v>4</v>
      </c>
      <c r="AE33" s="62">
        <v>3</v>
      </c>
      <c r="AF33" s="48" t="s">
        <v>16</v>
      </c>
      <c r="AG33" s="37"/>
    </row>
    <row r="34" spans="1:33" ht="15" customHeight="1">
      <c r="A34" s="70">
        <v>29</v>
      </c>
      <c r="B34" s="24">
        <v>1022</v>
      </c>
      <c r="C34" s="7">
        <v>144</v>
      </c>
      <c r="D34" s="34">
        <v>50</v>
      </c>
      <c r="E34" s="7">
        <v>33</v>
      </c>
      <c r="F34" s="34">
        <v>372</v>
      </c>
      <c r="G34" s="80">
        <f t="shared" si="0"/>
        <v>87.52941176470588</v>
      </c>
      <c r="H34" s="7">
        <v>10</v>
      </c>
      <c r="I34" s="7">
        <f>18+1</f>
        <v>19</v>
      </c>
      <c r="J34" s="7" t="s">
        <v>16</v>
      </c>
      <c r="K34" s="7">
        <v>2</v>
      </c>
      <c r="L34" s="102">
        <v>2</v>
      </c>
      <c r="M34" s="15">
        <v>60</v>
      </c>
      <c r="N34" s="7">
        <v>26</v>
      </c>
      <c r="O34" s="7">
        <v>12</v>
      </c>
      <c r="P34" s="7">
        <v>9</v>
      </c>
      <c r="Q34" s="18" t="s">
        <v>16</v>
      </c>
      <c r="R34" s="90" t="s">
        <v>16</v>
      </c>
      <c r="S34" s="88">
        <v>167</v>
      </c>
      <c r="T34" s="48">
        <v>312</v>
      </c>
      <c r="U34" s="15">
        <v>3</v>
      </c>
      <c r="V34" s="7">
        <v>5</v>
      </c>
      <c r="W34" s="7">
        <v>11</v>
      </c>
      <c r="X34" s="7">
        <v>9</v>
      </c>
      <c r="Y34" s="7">
        <v>3</v>
      </c>
      <c r="Z34" s="48">
        <v>2</v>
      </c>
      <c r="AA34" s="15">
        <v>229</v>
      </c>
      <c r="AB34" s="7">
        <v>198</v>
      </c>
      <c r="AC34" s="7">
        <v>1</v>
      </c>
      <c r="AD34" s="7">
        <v>2</v>
      </c>
      <c r="AE34" s="7">
        <v>4</v>
      </c>
      <c r="AF34" s="48" t="s">
        <v>16</v>
      </c>
      <c r="AG34" s="37"/>
    </row>
    <row r="35" spans="1:33" ht="15" customHeight="1">
      <c r="A35" s="70">
        <v>30</v>
      </c>
      <c r="B35" s="24">
        <v>1055</v>
      </c>
      <c r="C35" s="7">
        <v>115</v>
      </c>
      <c r="D35" s="34">
        <v>33</v>
      </c>
      <c r="E35" s="7">
        <v>28</v>
      </c>
      <c r="F35" s="34">
        <v>377</v>
      </c>
      <c r="G35" s="80">
        <f t="shared" si="0"/>
        <v>88.70588235294117</v>
      </c>
      <c r="H35" s="7">
        <v>7</v>
      </c>
      <c r="I35" s="7">
        <f>22+6</f>
        <v>28</v>
      </c>
      <c r="J35" s="7">
        <v>6</v>
      </c>
      <c r="K35" s="7">
        <v>2</v>
      </c>
      <c r="L35" s="102" t="s">
        <v>16</v>
      </c>
      <c r="M35" s="15">
        <v>66</v>
      </c>
      <c r="N35" s="7">
        <v>9</v>
      </c>
      <c r="O35" s="7">
        <v>16</v>
      </c>
      <c r="P35" s="7">
        <v>8</v>
      </c>
      <c r="Q35" s="18" t="s">
        <v>16</v>
      </c>
      <c r="R35" s="90" t="s">
        <v>16</v>
      </c>
      <c r="S35" s="88">
        <v>161</v>
      </c>
      <c r="T35" s="48">
        <v>177</v>
      </c>
      <c r="U35" s="15" t="s">
        <v>16</v>
      </c>
      <c r="V35" s="7">
        <v>12</v>
      </c>
      <c r="W35" s="7">
        <v>5</v>
      </c>
      <c r="X35" s="7">
        <v>5</v>
      </c>
      <c r="Y35" s="7">
        <v>2</v>
      </c>
      <c r="Z35" s="48">
        <v>3</v>
      </c>
      <c r="AA35" s="15">
        <v>199</v>
      </c>
      <c r="AB35" s="7">
        <v>250</v>
      </c>
      <c r="AC35" s="7" t="s">
        <v>16</v>
      </c>
      <c r="AD35" s="7">
        <v>4</v>
      </c>
      <c r="AE35" s="7">
        <v>3</v>
      </c>
      <c r="AF35" s="48">
        <v>1</v>
      </c>
      <c r="AG35" s="37"/>
    </row>
    <row r="36" spans="1:33" ht="15" customHeight="1" thickBot="1">
      <c r="A36" s="72">
        <v>31</v>
      </c>
      <c r="B36" s="50">
        <v>1001</v>
      </c>
      <c r="C36" s="51">
        <v>138</v>
      </c>
      <c r="D36" s="56">
        <v>43</v>
      </c>
      <c r="E36" s="51">
        <v>42</v>
      </c>
      <c r="F36" s="56">
        <v>378</v>
      </c>
      <c r="G36" s="57">
        <f t="shared" si="0"/>
        <v>88.94117647058823</v>
      </c>
      <c r="H36" s="51">
        <v>9</v>
      </c>
      <c r="I36" s="51">
        <f>18+1</f>
        <v>19</v>
      </c>
      <c r="J36" s="51" t="s">
        <v>16</v>
      </c>
      <c r="K36" s="51">
        <v>5</v>
      </c>
      <c r="L36" s="105">
        <v>1</v>
      </c>
      <c r="M36" s="58">
        <v>47</v>
      </c>
      <c r="N36" s="51">
        <v>14</v>
      </c>
      <c r="O36" s="51">
        <v>14</v>
      </c>
      <c r="P36" s="51">
        <v>9</v>
      </c>
      <c r="Q36" s="60" t="s">
        <v>16</v>
      </c>
      <c r="R36" s="98" t="s">
        <v>16</v>
      </c>
      <c r="S36" s="94">
        <v>141</v>
      </c>
      <c r="T36" s="87">
        <v>171</v>
      </c>
      <c r="U36" s="58">
        <v>6</v>
      </c>
      <c r="V36" s="51" t="s">
        <v>16</v>
      </c>
      <c r="W36" s="51">
        <v>8</v>
      </c>
      <c r="X36" s="51">
        <v>2</v>
      </c>
      <c r="Y36" s="51">
        <v>1</v>
      </c>
      <c r="Z36" s="87">
        <v>2</v>
      </c>
      <c r="AA36" s="58">
        <v>181</v>
      </c>
      <c r="AB36" s="51">
        <v>134</v>
      </c>
      <c r="AC36" s="51" t="s">
        <v>16</v>
      </c>
      <c r="AD36" s="51">
        <v>1</v>
      </c>
      <c r="AE36" s="51">
        <v>2</v>
      </c>
      <c r="AF36" s="87" t="s">
        <v>16</v>
      </c>
      <c r="AG36" s="37"/>
    </row>
    <row r="37" spans="1:33" ht="20.25" customHeight="1" thickBot="1" thickTop="1">
      <c r="A37" s="83" t="s">
        <v>22</v>
      </c>
      <c r="B37" s="53">
        <f aca="true" t="shared" si="1" ref="B37:J37">SUM(B6:B36)</f>
        <v>28537</v>
      </c>
      <c r="C37" s="53">
        <f t="shared" si="1"/>
        <v>4543</v>
      </c>
      <c r="D37" s="53">
        <f t="shared" si="1"/>
        <v>1091</v>
      </c>
      <c r="E37" s="53">
        <f t="shared" si="1"/>
        <v>940</v>
      </c>
      <c r="F37" s="53">
        <f t="shared" si="1"/>
        <v>8965</v>
      </c>
      <c r="G37" s="55">
        <f t="shared" si="1"/>
        <v>2109.4117647058824</v>
      </c>
      <c r="H37" s="53">
        <f t="shared" si="1"/>
        <v>247</v>
      </c>
      <c r="I37" s="53">
        <f t="shared" si="1"/>
        <v>649</v>
      </c>
      <c r="J37" s="53">
        <f t="shared" si="1"/>
        <v>34</v>
      </c>
      <c r="K37" s="53">
        <f aca="true" t="shared" si="2" ref="K37:P37">SUM(K6:K36)</f>
        <v>74</v>
      </c>
      <c r="L37" s="85">
        <f t="shared" si="2"/>
        <v>22</v>
      </c>
      <c r="M37" s="100">
        <f t="shared" si="2"/>
        <v>1614</v>
      </c>
      <c r="N37" s="53">
        <f t="shared" si="2"/>
        <v>353</v>
      </c>
      <c r="O37" s="53">
        <f t="shared" si="2"/>
        <v>400</v>
      </c>
      <c r="P37" s="53">
        <f t="shared" si="2"/>
        <v>188</v>
      </c>
      <c r="Q37" s="61" t="s">
        <v>35</v>
      </c>
      <c r="R37" s="99" t="s">
        <v>16</v>
      </c>
      <c r="S37" s="95">
        <f>SUM(S6:S36)</f>
        <v>3660</v>
      </c>
      <c r="T37" s="101">
        <f>SUM(T6:T36)</f>
        <v>6348</v>
      </c>
      <c r="U37" s="100">
        <f aca="true" t="shared" si="3" ref="U37:Z37">SUM(U6:U36)</f>
        <v>113</v>
      </c>
      <c r="V37" s="100">
        <f t="shared" si="3"/>
        <v>216</v>
      </c>
      <c r="W37" s="100">
        <f t="shared" si="3"/>
        <v>274</v>
      </c>
      <c r="X37" s="100">
        <f t="shared" si="3"/>
        <v>154</v>
      </c>
      <c r="Y37" s="100">
        <f t="shared" si="3"/>
        <v>16</v>
      </c>
      <c r="Z37" s="65">
        <f t="shared" si="3"/>
        <v>47</v>
      </c>
      <c r="AA37" s="84">
        <f>SUM(AA6:AA36)</f>
        <v>4601</v>
      </c>
      <c r="AB37" s="84">
        <f>SUM(AB6:AB36)</f>
        <v>4324</v>
      </c>
      <c r="AC37" s="84">
        <f>SUM(AC6:AC34)</f>
        <v>22</v>
      </c>
      <c r="AD37" s="53">
        <f>SUM(AD6:AD36)</f>
        <v>75</v>
      </c>
      <c r="AE37" s="53">
        <f>SUM(AE6:AE36)</f>
        <v>63</v>
      </c>
      <c r="AF37" s="53">
        <f>SUM(AF6:AF36)</f>
        <v>8</v>
      </c>
      <c r="AG37" s="37"/>
    </row>
    <row r="38" spans="1:33" s="36" customFormat="1" ht="24.75" customHeight="1" thickBot="1" thickTop="1">
      <c r="A38" s="69" t="s">
        <v>18</v>
      </c>
      <c r="B38" s="54">
        <f>+B37/27</f>
        <v>1056.9259259259259</v>
      </c>
      <c r="C38" s="54">
        <f>+C37/31</f>
        <v>146.5483870967742</v>
      </c>
      <c r="D38" s="54">
        <f>+D37/31</f>
        <v>35.193548387096776</v>
      </c>
      <c r="E38" s="54">
        <f>+E37/31</f>
        <v>30.322580645161292</v>
      </c>
      <c r="F38" s="54">
        <f>+F37/31</f>
        <v>289.19354838709677</v>
      </c>
      <c r="G38" s="685">
        <f>G37/31</f>
        <v>68.04554079696395</v>
      </c>
      <c r="H38" s="54">
        <f>+H37/31</f>
        <v>7.967741935483871</v>
      </c>
      <c r="I38" s="54">
        <f>+I37/31</f>
        <v>20.93548387096774</v>
      </c>
      <c r="J38" s="54">
        <f>+J37/27</f>
        <v>1.2592592592592593</v>
      </c>
      <c r="K38" s="54">
        <f>+K37/31</f>
        <v>2.3870967741935485</v>
      </c>
      <c r="L38" s="67">
        <f>+L37/31</f>
        <v>0.7096774193548387</v>
      </c>
      <c r="M38" s="96">
        <f>+M37/31</f>
        <v>52.064516129032256</v>
      </c>
      <c r="N38" s="52">
        <f>+N37/31</f>
        <v>11.387096774193548</v>
      </c>
      <c r="O38" s="52">
        <f>+O37/27</f>
        <v>14.814814814814815</v>
      </c>
      <c r="P38" s="52">
        <f>+P37/27</f>
        <v>6.962962962962963</v>
      </c>
      <c r="Q38" s="52" t="s">
        <v>16</v>
      </c>
      <c r="R38" s="67" t="s">
        <v>16</v>
      </c>
      <c r="S38" s="96">
        <f>+S37/27</f>
        <v>135.55555555555554</v>
      </c>
      <c r="T38" s="67">
        <f>+T37/31</f>
        <v>204.7741935483871</v>
      </c>
      <c r="U38" s="96">
        <f aca="true" t="shared" si="4" ref="U38:Z38">+U37/27</f>
        <v>4.185185185185185</v>
      </c>
      <c r="V38" s="52">
        <f t="shared" si="4"/>
        <v>8</v>
      </c>
      <c r="W38" s="52">
        <f t="shared" si="4"/>
        <v>10.148148148148149</v>
      </c>
      <c r="X38" s="52">
        <f t="shared" si="4"/>
        <v>5.703703703703703</v>
      </c>
      <c r="Y38" s="52">
        <f t="shared" si="4"/>
        <v>0.5925925925925926</v>
      </c>
      <c r="Z38" s="67">
        <f t="shared" si="4"/>
        <v>1.7407407407407407</v>
      </c>
      <c r="AA38" s="96">
        <f>+AA37/27</f>
        <v>170.40740740740742</v>
      </c>
      <c r="AB38" s="52">
        <f>+AB37/31</f>
        <v>139.48387096774192</v>
      </c>
      <c r="AC38" s="52">
        <f>+AC37/27</f>
        <v>0.8148148148148148</v>
      </c>
      <c r="AD38" s="52">
        <f>+AD37/27</f>
        <v>2.7777777777777777</v>
      </c>
      <c r="AE38" s="52">
        <f>+AE37/27</f>
        <v>2.3333333333333335</v>
      </c>
      <c r="AF38" s="67" t="s">
        <v>16</v>
      </c>
      <c r="AG38" s="38"/>
    </row>
    <row r="39" spans="1:33" ht="13.5" thickTop="1">
      <c r="A39" s="39"/>
      <c r="B39" s="40"/>
      <c r="C39" s="40"/>
      <c r="D39" s="40"/>
      <c r="E39" s="40"/>
      <c r="F39" s="39"/>
      <c r="G39" s="37"/>
      <c r="H39" s="39"/>
      <c r="I39" s="39"/>
      <c r="J39" s="39"/>
      <c r="K39" s="39"/>
      <c r="L39" s="106"/>
      <c r="M39" s="107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7"/>
    </row>
    <row r="40" spans="1:33" ht="12.75">
      <c r="A40" s="39"/>
      <c r="B40" s="40"/>
      <c r="C40" s="40"/>
      <c r="D40" s="40"/>
      <c r="E40" s="40"/>
      <c r="F40" s="39"/>
      <c r="G40" s="37"/>
      <c r="H40" s="39"/>
      <c r="I40" s="39"/>
      <c r="J40" s="39"/>
      <c r="K40" s="39"/>
      <c r="L40" s="106"/>
      <c r="M40" s="106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7"/>
    </row>
    <row r="41" spans="1:33" ht="12.75">
      <c r="A41" s="39"/>
      <c r="B41" s="40"/>
      <c r="C41" s="40"/>
      <c r="D41" s="40"/>
      <c r="E41" s="40"/>
      <c r="F41" s="39"/>
      <c r="G41" s="37"/>
      <c r="H41" s="39"/>
      <c r="I41" s="39"/>
      <c r="J41" s="39"/>
      <c r="K41" s="39"/>
      <c r="L41" s="106"/>
      <c r="M41" s="106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7"/>
    </row>
    <row r="42" spans="1:33" ht="12.75">
      <c r="A42" s="39"/>
      <c r="B42" s="40"/>
      <c r="C42" s="40"/>
      <c r="D42" s="40"/>
      <c r="E42" s="40"/>
      <c r="F42" s="39"/>
      <c r="G42" s="37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7"/>
    </row>
    <row r="43" spans="1:33" ht="15.75">
      <c r="A43" s="39"/>
      <c r="B43" s="40"/>
      <c r="C43" s="40"/>
      <c r="D43" s="40"/>
      <c r="E43" s="40"/>
      <c r="F43" s="39"/>
      <c r="G43" s="37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3" t="s">
        <v>29</v>
      </c>
      <c r="AA43" s="39"/>
      <c r="AB43" s="39"/>
      <c r="AC43" s="39"/>
      <c r="AD43" s="39"/>
      <c r="AE43" s="39"/>
      <c r="AF43" s="39"/>
      <c r="AG43" s="37"/>
    </row>
    <row r="44" ht="12.75">
      <c r="G44" s="42"/>
    </row>
    <row r="45" ht="12.75">
      <c r="N45" s="8"/>
    </row>
    <row r="46" spans="14:15" ht="12.75">
      <c r="N46" s="8"/>
      <c r="O46" s="8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76" spans="4:7" ht="12.75">
      <c r="D76" s="21"/>
      <c r="G76" s="43"/>
    </row>
  </sheetData>
  <sheetProtection/>
  <mergeCells count="26">
    <mergeCell ref="M4:N4"/>
    <mergeCell ref="S3:AF3"/>
    <mergeCell ref="AE4:AF4"/>
    <mergeCell ref="O4:P4"/>
    <mergeCell ref="Q4:R4"/>
    <mergeCell ref="W4:X4"/>
    <mergeCell ref="A2:AF2"/>
    <mergeCell ref="B3:B4"/>
    <mergeCell ref="C3:C4"/>
    <mergeCell ref="D3:D4"/>
    <mergeCell ref="Y4:Z4"/>
    <mergeCell ref="AA4:AB4"/>
    <mergeCell ref="AC4:AD4"/>
    <mergeCell ref="S4:T4"/>
    <mergeCell ref="U4:V4"/>
    <mergeCell ref="M3:R3"/>
    <mergeCell ref="A5:C5"/>
    <mergeCell ref="D5:G5"/>
    <mergeCell ref="H5:L5"/>
    <mergeCell ref="I3:I4"/>
    <mergeCell ref="L3:L4"/>
    <mergeCell ref="E3:E4"/>
    <mergeCell ref="F3:F4"/>
    <mergeCell ref="G3:G4"/>
    <mergeCell ref="H3:H4"/>
    <mergeCell ref="A3:A4"/>
  </mergeCells>
  <printOptions horizontalCentered="1" verticalCentered="1"/>
  <pageMargins left="0.5" right="0" top="0.25" bottom="0.25" header="0.3" footer="0.23"/>
  <pageSetup horizontalDpi="600" verticalDpi="600" orientation="landscape" paperSize="5" scale="85" r:id="rId2"/>
  <colBreaks count="1" manualBreakCount="1">
    <brk id="3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FQ74"/>
  <sheetViews>
    <sheetView view="pageBreakPreview" zoomScale="60" zoomScalePageLayoutView="0" workbookViewId="0" topLeftCell="A14">
      <selection activeCell="G37" sqref="G37"/>
    </sheetView>
  </sheetViews>
  <sheetFormatPr defaultColWidth="9.140625" defaultRowHeight="12.75"/>
  <cols>
    <col min="1" max="1" width="10.00390625" style="0" customWidth="1"/>
    <col min="2" max="2" width="11.00390625" style="4" customWidth="1"/>
    <col min="3" max="3" width="9.421875" style="4" customWidth="1"/>
    <col min="4" max="4" width="6.8515625" style="4" customWidth="1"/>
    <col min="5" max="5" width="7.421875" style="4" customWidth="1"/>
    <col min="6" max="6" width="8.7109375" style="0" customWidth="1"/>
    <col min="7" max="7" width="8.57421875" style="9" customWidth="1"/>
    <col min="8" max="8" width="7.28125" style="0" customWidth="1"/>
    <col min="9" max="10" width="7.7109375" style="0" customWidth="1"/>
    <col min="11" max="11" width="8.00390625" style="0" customWidth="1"/>
    <col min="12" max="12" width="6.7109375" style="0" customWidth="1"/>
    <col min="13" max="13" width="8.57421875" style="0" customWidth="1"/>
    <col min="14" max="14" width="6.8515625" style="0" customWidth="1"/>
    <col min="15" max="15" width="7.57421875" style="0" customWidth="1"/>
    <col min="16" max="16" width="7.7109375" style="0" customWidth="1"/>
    <col min="17" max="17" width="6.140625" style="0" customWidth="1"/>
    <col min="18" max="18" width="5.8515625" style="0" customWidth="1"/>
    <col min="19" max="19" width="9.421875" style="0" customWidth="1"/>
    <col min="20" max="20" width="9.28125" style="0" bestFit="1" customWidth="1"/>
    <col min="21" max="21" width="5.421875" style="0" bestFit="1" customWidth="1"/>
    <col min="22" max="22" width="6.7109375" style="0" customWidth="1"/>
    <col min="23" max="23" width="7.00390625" style="0" customWidth="1"/>
    <col min="24" max="24" width="6.7109375" style="0" customWidth="1"/>
    <col min="25" max="25" width="4.7109375" style="0" customWidth="1"/>
    <col min="26" max="26" width="6.28125" style="0" customWidth="1"/>
    <col min="27" max="27" width="9.8515625" style="0" customWidth="1"/>
    <col min="29" max="29" width="5.57421875" style="0" customWidth="1"/>
    <col min="30" max="30" width="6.00390625" style="0" customWidth="1"/>
    <col min="31" max="31" width="4.7109375" style="0" customWidth="1"/>
    <col min="32" max="32" width="6.28125" style="0" customWidth="1"/>
    <col min="33" max="16384" width="9.140625" style="9" customWidth="1"/>
  </cols>
  <sheetData>
    <row r="1" spans="1:32" ht="12" customHeight="1">
      <c r="A1" s="537" t="s">
        <v>50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3" ht="17.25" customHeight="1" thickBot="1">
      <c r="A2" s="531" t="s">
        <v>45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37"/>
    </row>
    <row r="3" spans="1:35" ht="12" customHeight="1" thickTop="1">
      <c r="A3" s="555" t="s">
        <v>23</v>
      </c>
      <c r="B3" s="557" t="s">
        <v>0</v>
      </c>
      <c r="C3" s="559" t="s">
        <v>1</v>
      </c>
      <c r="D3" s="557" t="s">
        <v>20</v>
      </c>
      <c r="E3" s="561" t="s">
        <v>21</v>
      </c>
      <c r="F3" s="563" t="s">
        <v>19</v>
      </c>
      <c r="G3" s="547" t="s">
        <v>2</v>
      </c>
      <c r="H3" s="553" t="s">
        <v>3</v>
      </c>
      <c r="I3" s="554" t="s">
        <v>4</v>
      </c>
      <c r="J3" s="121"/>
      <c r="K3" s="46"/>
      <c r="L3" s="529" t="s">
        <v>5</v>
      </c>
      <c r="M3" s="538" t="s">
        <v>17</v>
      </c>
      <c r="N3" s="539"/>
      <c r="O3" s="539"/>
      <c r="P3" s="539"/>
      <c r="Q3" s="539"/>
      <c r="R3" s="540"/>
      <c r="S3" s="541" t="s">
        <v>48</v>
      </c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3"/>
      <c r="AG3" s="123"/>
      <c r="AH3" s="76"/>
      <c r="AI3" s="76"/>
    </row>
    <row r="4" spans="1:35" ht="97.5" customHeight="1" thickBot="1">
      <c r="A4" s="556"/>
      <c r="B4" s="558"/>
      <c r="C4" s="560"/>
      <c r="D4" s="558"/>
      <c r="E4" s="562"/>
      <c r="F4" s="545"/>
      <c r="G4" s="548"/>
      <c r="H4" s="544"/>
      <c r="I4" s="545"/>
      <c r="J4" s="47" t="s">
        <v>42</v>
      </c>
      <c r="K4" s="47" t="s">
        <v>26</v>
      </c>
      <c r="L4" s="503"/>
      <c r="M4" s="544" t="s">
        <v>6</v>
      </c>
      <c r="N4" s="545"/>
      <c r="O4" s="545" t="s">
        <v>15</v>
      </c>
      <c r="P4" s="545"/>
      <c r="Q4" s="545" t="s">
        <v>7</v>
      </c>
      <c r="R4" s="546"/>
      <c r="S4" s="550" t="s">
        <v>25</v>
      </c>
      <c r="T4" s="551"/>
      <c r="U4" s="544" t="s">
        <v>34</v>
      </c>
      <c r="V4" s="545"/>
      <c r="W4" s="545" t="s">
        <v>9</v>
      </c>
      <c r="X4" s="545"/>
      <c r="Y4" s="545" t="s">
        <v>10</v>
      </c>
      <c r="Z4" s="549"/>
      <c r="AA4" s="544" t="s">
        <v>11</v>
      </c>
      <c r="AB4" s="545"/>
      <c r="AC4" s="545" t="s">
        <v>24</v>
      </c>
      <c r="AD4" s="545"/>
      <c r="AE4" s="545" t="s">
        <v>12</v>
      </c>
      <c r="AF4" s="549"/>
      <c r="AG4" s="123"/>
      <c r="AH4" s="76"/>
      <c r="AI4" s="76"/>
    </row>
    <row r="5" spans="1:34" ht="16.5" customHeight="1" thickBot="1" thickTop="1">
      <c r="A5" s="521"/>
      <c r="B5" s="522"/>
      <c r="C5" s="528"/>
      <c r="D5" s="525" t="s">
        <v>46</v>
      </c>
      <c r="E5" s="525"/>
      <c r="F5" s="525"/>
      <c r="G5" s="552"/>
      <c r="H5" s="522"/>
      <c r="I5" s="522"/>
      <c r="J5" s="522"/>
      <c r="K5" s="522"/>
      <c r="L5" s="528"/>
      <c r="M5" s="63" t="s">
        <v>13</v>
      </c>
      <c r="N5" s="64" t="s">
        <v>14</v>
      </c>
      <c r="O5" s="64" t="s">
        <v>13</v>
      </c>
      <c r="P5" s="64" t="s">
        <v>14</v>
      </c>
      <c r="Q5" s="64" t="s">
        <v>13</v>
      </c>
      <c r="R5" s="65" t="s">
        <v>14</v>
      </c>
      <c r="S5" s="119" t="s">
        <v>13</v>
      </c>
      <c r="T5" s="65" t="s">
        <v>14</v>
      </c>
      <c r="U5" s="63" t="s">
        <v>13</v>
      </c>
      <c r="V5" s="64" t="s">
        <v>14</v>
      </c>
      <c r="W5" s="64" t="s">
        <v>13</v>
      </c>
      <c r="X5" s="64" t="s">
        <v>14</v>
      </c>
      <c r="Y5" s="64" t="s">
        <v>13</v>
      </c>
      <c r="Z5" s="65" t="s">
        <v>14</v>
      </c>
      <c r="AA5" s="120" t="s">
        <v>13</v>
      </c>
      <c r="AB5" s="64" t="s">
        <v>14</v>
      </c>
      <c r="AC5" s="64" t="s">
        <v>13</v>
      </c>
      <c r="AD5" s="64" t="s">
        <v>14</v>
      </c>
      <c r="AE5" s="64" t="s">
        <v>13</v>
      </c>
      <c r="AF5" s="65" t="s">
        <v>14</v>
      </c>
      <c r="AG5" s="37"/>
      <c r="AH5" s="76"/>
    </row>
    <row r="6" spans="1:33" ht="19.5" customHeight="1" thickTop="1">
      <c r="A6" s="194">
        <v>1</v>
      </c>
      <c r="B6" s="191">
        <v>713</v>
      </c>
      <c r="C6" s="183">
        <v>127</v>
      </c>
      <c r="D6" s="180">
        <v>35</v>
      </c>
      <c r="E6" s="130">
        <v>33</v>
      </c>
      <c r="F6" s="129">
        <v>241</v>
      </c>
      <c r="G6" s="176">
        <f>+F6/4.25</f>
        <v>56.705882352941174</v>
      </c>
      <c r="H6" s="131">
        <v>6</v>
      </c>
      <c r="I6" s="130">
        <f>21+2</f>
        <v>23</v>
      </c>
      <c r="J6" s="130" t="s">
        <v>16</v>
      </c>
      <c r="K6" s="130">
        <v>2</v>
      </c>
      <c r="L6" s="132">
        <v>1</v>
      </c>
      <c r="M6" s="131">
        <v>50</v>
      </c>
      <c r="N6" s="130">
        <v>9</v>
      </c>
      <c r="O6" s="130">
        <v>12</v>
      </c>
      <c r="P6" s="130">
        <v>14</v>
      </c>
      <c r="Q6" s="133" t="s">
        <v>16</v>
      </c>
      <c r="R6" s="134" t="s">
        <v>16</v>
      </c>
      <c r="S6" s="135">
        <v>112</v>
      </c>
      <c r="T6" s="136">
        <v>107</v>
      </c>
      <c r="U6" s="131">
        <v>4</v>
      </c>
      <c r="V6" s="130">
        <v>10</v>
      </c>
      <c r="W6" s="130">
        <v>5</v>
      </c>
      <c r="X6" s="130">
        <v>9</v>
      </c>
      <c r="Y6" s="130" t="s">
        <v>16</v>
      </c>
      <c r="Z6" s="136">
        <v>1</v>
      </c>
      <c r="AA6" s="131">
        <v>252</v>
      </c>
      <c r="AB6" s="130">
        <v>249</v>
      </c>
      <c r="AC6" s="130" t="s">
        <v>16</v>
      </c>
      <c r="AD6" s="130">
        <v>2</v>
      </c>
      <c r="AE6" s="130">
        <v>1</v>
      </c>
      <c r="AF6" s="136" t="s">
        <v>16</v>
      </c>
      <c r="AG6" s="37"/>
    </row>
    <row r="7" spans="1:33" ht="19.5" customHeight="1">
      <c r="A7" s="195">
        <v>2</v>
      </c>
      <c r="B7" s="192">
        <v>942</v>
      </c>
      <c r="C7" s="144">
        <v>144</v>
      </c>
      <c r="D7" s="181">
        <v>27</v>
      </c>
      <c r="E7" s="138">
        <v>47</v>
      </c>
      <c r="F7" s="137">
        <v>221</v>
      </c>
      <c r="G7" s="177">
        <f aca="true" t="shared" si="0" ref="G7:G35">+F7/4.25</f>
        <v>52</v>
      </c>
      <c r="H7" s="139">
        <v>9</v>
      </c>
      <c r="I7" s="138">
        <f>22+1</f>
        <v>23</v>
      </c>
      <c r="J7" s="138" t="s">
        <v>16</v>
      </c>
      <c r="K7" s="138">
        <v>3</v>
      </c>
      <c r="L7" s="140">
        <v>1</v>
      </c>
      <c r="M7" s="139">
        <v>48</v>
      </c>
      <c r="N7" s="138">
        <v>5</v>
      </c>
      <c r="O7" s="138">
        <v>8</v>
      </c>
      <c r="P7" s="138">
        <v>8</v>
      </c>
      <c r="Q7" s="133" t="s">
        <v>16</v>
      </c>
      <c r="R7" s="134" t="s">
        <v>16</v>
      </c>
      <c r="S7" s="143">
        <v>102</v>
      </c>
      <c r="T7" s="144">
        <v>169</v>
      </c>
      <c r="U7" s="139">
        <v>4</v>
      </c>
      <c r="V7" s="138">
        <v>6</v>
      </c>
      <c r="W7" s="138">
        <v>5</v>
      </c>
      <c r="X7" s="138">
        <v>3</v>
      </c>
      <c r="Y7" s="138" t="s">
        <v>16</v>
      </c>
      <c r="Z7" s="144">
        <v>5</v>
      </c>
      <c r="AA7" s="139">
        <v>103</v>
      </c>
      <c r="AB7" s="138">
        <v>191</v>
      </c>
      <c r="AC7" s="130">
        <v>1</v>
      </c>
      <c r="AD7" s="130">
        <v>1</v>
      </c>
      <c r="AE7" s="130">
        <v>3</v>
      </c>
      <c r="AF7" s="136" t="s">
        <v>16</v>
      </c>
      <c r="AG7" s="37"/>
    </row>
    <row r="8" spans="1:173" s="128" customFormat="1" ht="19.5" customHeight="1">
      <c r="A8" s="196">
        <v>3</v>
      </c>
      <c r="B8" s="193" t="s">
        <v>16</v>
      </c>
      <c r="C8" s="150">
        <v>151</v>
      </c>
      <c r="D8" s="182">
        <v>4</v>
      </c>
      <c r="E8" s="146">
        <v>8</v>
      </c>
      <c r="F8" s="145">
        <v>217</v>
      </c>
      <c r="G8" s="177">
        <f t="shared" si="0"/>
        <v>51.05882352941177</v>
      </c>
      <c r="H8" s="147">
        <v>1</v>
      </c>
      <c r="I8" s="146" t="s">
        <v>16</v>
      </c>
      <c r="J8" s="146" t="s">
        <v>16</v>
      </c>
      <c r="K8" s="146">
        <v>2</v>
      </c>
      <c r="L8" s="148">
        <v>1</v>
      </c>
      <c r="M8" s="147">
        <v>13</v>
      </c>
      <c r="N8" s="146">
        <v>1</v>
      </c>
      <c r="O8" s="146" t="s">
        <v>16</v>
      </c>
      <c r="P8" s="146" t="s">
        <v>16</v>
      </c>
      <c r="Q8" s="133" t="s">
        <v>16</v>
      </c>
      <c r="R8" s="134" t="s">
        <v>16</v>
      </c>
      <c r="S8" s="149" t="s">
        <v>16</v>
      </c>
      <c r="T8" s="150">
        <v>44</v>
      </c>
      <c r="U8" s="147" t="s">
        <v>16</v>
      </c>
      <c r="V8" s="146" t="s">
        <v>16</v>
      </c>
      <c r="W8" s="146" t="s">
        <v>16</v>
      </c>
      <c r="X8" s="146" t="s">
        <v>16</v>
      </c>
      <c r="Y8" s="146" t="s">
        <v>16</v>
      </c>
      <c r="Z8" s="150" t="s">
        <v>16</v>
      </c>
      <c r="AA8" s="147" t="s">
        <v>16</v>
      </c>
      <c r="AB8" s="146">
        <v>21</v>
      </c>
      <c r="AC8" s="185" t="s">
        <v>16</v>
      </c>
      <c r="AD8" s="185" t="s">
        <v>16</v>
      </c>
      <c r="AE8" s="185" t="s">
        <v>16</v>
      </c>
      <c r="AF8" s="186" t="s">
        <v>16</v>
      </c>
      <c r="AG8" s="76"/>
      <c r="AH8" s="37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</row>
    <row r="9" spans="1:34" ht="19.5" customHeight="1">
      <c r="A9" s="195">
        <v>4</v>
      </c>
      <c r="B9" s="192">
        <v>1110</v>
      </c>
      <c r="C9" s="144">
        <v>174</v>
      </c>
      <c r="D9" s="181">
        <v>45</v>
      </c>
      <c r="E9" s="138">
        <v>40</v>
      </c>
      <c r="F9" s="137">
        <v>222</v>
      </c>
      <c r="G9" s="177">
        <f t="shared" si="0"/>
        <v>52.23529411764706</v>
      </c>
      <c r="H9" s="139">
        <v>5</v>
      </c>
      <c r="I9" s="138">
        <f>30+3</f>
        <v>33</v>
      </c>
      <c r="J9" s="138">
        <v>1</v>
      </c>
      <c r="K9" s="138">
        <v>3</v>
      </c>
      <c r="L9" s="140" t="s">
        <v>16</v>
      </c>
      <c r="M9" s="139">
        <v>63</v>
      </c>
      <c r="N9" s="138">
        <v>12</v>
      </c>
      <c r="O9" s="138">
        <v>10</v>
      </c>
      <c r="P9" s="138">
        <v>3</v>
      </c>
      <c r="Q9" s="133" t="s">
        <v>16</v>
      </c>
      <c r="R9" s="134" t="s">
        <v>16</v>
      </c>
      <c r="S9" s="143">
        <v>116</v>
      </c>
      <c r="T9" s="144">
        <v>193</v>
      </c>
      <c r="U9" s="139">
        <v>4</v>
      </c>
      <c r="V9" s="138">
        <v>9</v>
      </c>
      <c r="W9" s="138">
        <v>6</v>
      </c>
      <c r="X9" s="138">
        <v>7</v>
      </c>
      <c r="Y9" s="138" t="s">
        <v>16</v>
      </c>
      <c r="Z9" s="144">
        <v>4</v>
      </c>
      <c r="AA9" s="139">
        <v>163</v>
      </c>
      <c r="AB9" s="138">
        <v>141</v>
      </c>
      <c r="AC9" s="130">
        <v>7</v>
      </c>
      <c r="AD9" s="130">
        <v>1</v>
      </c>
      <c r="AE9" s="130" t="s">
        <v>16</v>
      </c>
      <c r="AF9" s="136">
        <v>2</v>
      </c>
      <c r="AH9" s="37"/>
    </row>
    <row r="10" spans="1:34" ht="19.5" customHeight="1">
      <c r="A10" s="195">
        <v>5</v>
      </c>
      <c r="B10" s="192">
        <v>924</v>
      </c>
      <c r="C10" s="144">
        <v>104</v>
      </c>
      <c r="D10" s="181">
        <v>32</v>
      </c>
      <c r="E10" s="138">
        <v>33</v>
      </c>
      <c r="F10" s="137">
        <v>221</v>
      </c>
      <c r="G10" s="177">
        <f t="shared" si="0"/>
        <v>52</v>
      </c>
      <c r="H10" s="139">
        <v>6</v>
      </c>
      <c r="I10" s="138">
        <f>24+1</f>
        <v>25</v>
      </c>
      <c r="J10" s="138" t="s">
        <v>16</v>
      </c>
      <c r="K10" s="138">
        <v>1</v>
      </c>
      <c r="L10" s="140">
        <v>1</v>
      </c>
      <c r="M10" s="139">
        <v>52</v>
      </c>
      <c r="N10" s="138">
        <v>12</v>
      </c>
      <c r="O10" s="138">
        <v>13</v>
      </c>
      <c r="P10" s="138">
        <v>5</v>
      </c>
      <c r="Q10" s="133" t="s">
        <v>16</v>
      </c>
      <c r="R10" s="134" t="s">
        <v>16</v>
      </c>
      <c r="S10" s="143">
        <v>127</v>
      </c>
      <c r="T10" s="144">
        <v>209</v>
      </c>
      <c r="U10" s="139">
        <v>5</v>
      </c>
      <c r="V10" s="138">
        <v>5</v>
      </c>
      <c r="W10" s="138">
        <v>8</v>
      </c>
      <c r="X10" s="138">
        <v>9</v>
      </c>
      <c r="Y10" s="138" t="s">
        <v>16</v>
      </c>
      <c r="Z10" s="144">
        <v>3</v>
      </c>
      <c r="AA10" s="139">
        <v>141</v>
      </c>
      <c r="AB10" s="138">
        <v>206</v>
      </c>
      <c r="AC10" s="130">
        <v>2</v>
      </c>
      <c r="AD10" s="130">
        <v>1</v>
      </c>
      <c r="AE10" s="130" t="s">
        <v>16</v>
      </c>
      <c r="AF10" s="136">
        <v>1</v>
      </c>
      <c r="AH10" s="37"/>
    </row>
    <row r="11" spans="1:34" ht="19.5" customHeight="1">
      <c r="A11" s="195">
        <v>6</v>
      </c>
      <c r="B11" s="192">
        <v>842</v>
      </c>
      <c r="C11" s="144">
        <v>117</v>
      </c>
      <c r="D11" s="181">
        <v>24</v>
      </c>
      <c r="E11" s="138">
        <v>35</v>
      </c>
      <c r="F11" s="137">
        <v>210</v>
      </c>
      <c r="G11" s="177">
        <f t="shared" si="0"/>
        <v>49.411764705882355</v>
      </c>
      <c r="H11" s="139">
        <v>8</v>
      </c>
      <c r="I11" s="138">
        <f>30+3</f>
        <v>33</v>
      </c>
      <c r="J11" s="138" t="s">
        <v>16</v>
      </c>
      <c r="K11" s="138">
        <v>3</v>
      </c>
      <c r="L11" s="140" t="s">
        <v>16</v>
      </c>
      <c r="M11" s="139">
        <v>46</v>
      </c>
      <c r="N11" s="138">
        <v>8</v>
      </c>
      <c r="O11" s="138">
        <v>15</v>
      </c>
      <c r="P11" s="138">
        <v>4</v>
      </c>
      <c r="Q11" s="133" t="s">
        <v>16</v>
      </c>
      <c r="R11" s="134" t="s">
        <v>16</v>
      </c>
      <c r="S11" s="143">
        <v>142</v>
      </c>
      <c r="T11" s="144">
        <v>223</v>
      </c>
      <c r="U11" s="139">
        <v>5</v>
      </c>
      <c r="V11" s="138">
        <v>14</v>
      </c>
      <c r="W11" s="138">
        <v>9</v>
      </c>
      <c r="X11" s="138">
        <v>1</v>
      </c>
      <c r="Y11" s="138" t="s">
        <v>16</v>
      </c>
      <c r="Z11" s="144" t="s">
        <v>16</v>
      </c>
      <c r="AA11" s="139">
        <v>175</v>
      </c>
      <c r="AB11" s="138">
        <v>166</v>
      </c>
      <c r="AC11" s="130">
        <v>3</v>
      </c>
      <c r="AD11" s="130" t="s">
        <v>16</v>
      </c>
      <c r="AE11" s="130" t="s">
        <v>16</v>
      </c>
      <c r="AF11" s="144">
        <v>1</v>
      </c>
      <c r="AH11" s="37"/>
    </row>
    <row r="12" spans="1:34" ht="19.5" customHeight="1">
      <c r="A12" s="195">
        <v>7</v>
      </c>
      <c r="B12" s="192">
        <v>862</v>
      </c>
      <c r="C12" s="144">
        <v>128</v>
      </c>
      <c r="D12" s="181">
        <v>33</v>
      </c>
      <c r="E12" s="138">
        <v>37</v>
      </c>
      <c r="F12" s="137">
        <v>206</v>
      </c>
      <c r="G12" s="177">
        <f t="shared" si="0"/>
        <v>48.470588235294116</v>
      </c>
      <c r="H12" s="139">
        <v>8</v>
      </c>
      <c r="I12" s="138">
        <f>33+1</f>
        <v>34</v>
      </c>
      <c r="J12" s="138" t="s">
        <v>16</v>
      </c>
      <c r="K12" s="138" t="s">
        <v>16</v>
      </c>
      <c r="L12" s="140">
        <v>1</v>
      </c>
      <c r="M12" s="151">
        <v>51</v>
      </c>
      <c r="N12" s="152">
        <v>10</v>
      </c>
      <c r="O12" s="138">
        <v>11</v>
      </c>
      <c r="P12" s="138">
        <v>4</v>
      </c>
      <c r="Q12" s="133" t="s">
        <v>16</v>
      </c>
      <c r="R12" s="134" t="s">
        <v>16</v>
      </c>
      <c r="S12" s="143">
        <v>112</v>
      </c>
      <c r="T12" s="144">
        <v>189</v>
      </c>
      <c r="U12" s="139">
        <v>3</v>
      </c>
      <c r="V12" s="138">
        <v>5</v>
      </c>
      <c r="W12" s="138">
        <v>8</v>
      </c>
      <c r="X12" s="138">
        <v>3</v>
      </c>
      <c r="Y12" s="138">
        <v>1</v>
      </c>
      <c r="Z12" s="144">
        <v>2</v>
      </c>
      <c r="AA12" s="139">
        <v>200</v>
      </c>
      <c r="AB12" s="138">
        <v>204</v>
      </c>
      <c r="AC12" s="130" t="s">
        <v>16</v>
      </c>
      <c r="AD12" s="130" t="s">
        <v>16</v>
      </c>
      <c r="AE12" s="130" t="s">
        <v>16</v>
      </c>
      <c r="AF12" s="136">
        <v>3</v>
      </c>
      <c r="AH12" s="37"/>
    </row>
    <row r="13" spans="1:34" ht="19.5" customHeight="1">
      <c r="A13" s="195">
        <v>8</v>
      </c>
      <c r="B13" s="192">
        <v>723</v>
      </c>
      <c r="C13" s="144">
        <v>131</v>
      </c>
      <c r="D13" s="181">
        <v>34</v>
      </c>
      <c r="E13" s="138">
        <v>41</v>
      </c>
      <c r="F13" s="137">
        <v>199</v>
      </c>
      <c r="G13" s="177">
        <f t="shared" si="0"/>
        <v>46.8235294117647</v>
      </c>
      <c r="H13" s="139">
        <v>6</v>
      </c>
      <c r="I13" s="138">
        <f>20+3</f>
        <v>23</v>
      </c>
      <c r="J13" s="138" t="s">
        <v>16</v>
      </c>
      <c r="K13" s="138" t="s">
        <v>16</v>
      </c>
      <c r="L13" s="140">
        <v>1</v>
      </c>
      <c r="M13" s="139">
        <v>51</v>
      </c>
      <c r="N13" s="138">
        <v>15</v>
      </c>
      <c r="O13" s="138">
        <v>15</v>
      </c>
      <c r="P13" s="138">
        <v>5</v>
      </c>
      <c r="Q13" s="133" t="s">
        <v>16</v>
      </c>
      <c r="R13" s="134" t="s">
        <v>16</v>
      </c>
      <c r="S13" s="143">
        <v>113</v>
      </c>
      <c r="T13" s="144">
        <v>158</v>
      </c>
      <c r="U13" s="139">
        <v>2</v>
      </c>
      <c r="V13" s="138">
        <v>5</v>
      </c>
      <c r="W13" s="138">
        <v>7</v>
      </c>
      <c r="X13" s="138">
        <v>2</v>
      </c>
      <c r="Y13" s="138" t="s">
        <v>16</v>
      </c>
      <c r="Z13" s="144">
        <v>1</v>
      </c>
      <c r="AA13" s="139">
        <v>101</v>
      </c>
      <c r="AB13" s="138">
        <v>296</v>
      </c>
      <c r="AC13" s="130">
        <v>6</v>
      </c>
      <c r="AD13" s="130">
        <v>2</v>
      </c>
      <c r="AE13" s="130" t="s">
        <v>16</v>
      </c>
      <c r="AF13" s="136" t="s">
        <v>16</v>
      </c>
      <c r="AH13" s="37"/>
    </row>
    <row r="14" spans="1:34" ht="19.5" customHeight="1">
      <c r="A14" s="195">
        <v>9</v>
      </c>
      <c r="B14" s="192">
        <v>911</v>
      </c>
      <c r="C14" s="144">
        <v>120</v>
      </c>
      <c r="D14" s="181">
        <v>25</v>
      </c>
      <c r="E14" s="138">
        <v>41</v>
      </c>
      <c r="F14" s="137">
        <f>199-16</f>
        <v>183</v>
      </c>
      <c r="G14" s="177">
        <f t="shared" si="0"/>
        <v>43.05882352941177</v>
      </c>
      <c r="H14" s="139">
        <v>4</v>
      </c>
      <c r="I14" s="138">
        <f>31+2</f>
        <v>33</v>
      </c>
      <c r="J14" s="138" t="s">
        <v>16</v>
      </c>
      <c r="K14" s="138">
        <v>2</v>
      </c>
      <c r="L14" s="140" t="s">
        <v>16</v>
      </c>
      <c r="M14" s="139">
        <v>49</v>
      </c>
      <c r="N14" s="138">
        <v>14</v>
      </c>
      <c r="O14" s="138">
        <v>15</v>
      </c>
      <c r="P14" s="138">
        <v>8</v>
      </c>
      <c r="Q14" s="133" t="s">
        <v>16</v>
      </c>
      <c r="R14" s="134" t="s">
        <v>16</v>
      </c>
      <c r="S14" s="143">
        <v>84</v>
      </c>
      <c r="T14" s="144">
        <v>156</v>
      </c>
      <c r="U14" s="139">
        <v>6</v>
      </c>
      <c r="V14" s="138">
        <v>6</v>
      </c>
      <c r="W14" s="138">
        <v>5</v>
      </c>
      <c r="X14" s="138">
        <v>3</v>
      </c>
      <c r="Y14" s="138">
        <v>1</v>
      </c>
      <c r="Z14" s="144">
        <v>2</v>
      </c>
      <c r="AA14" s="139">
        <v>159</v>
      </c>
      <c r="AB14" s="138">
        <v>262</v>
      </c>
      <c r="AC14" s="130" t="s">
        <v>16</v>
      </c>
      <c r="AD14" s="130" t="s">
        <v>16</v>
      </c>
      <c r="AE14" s="130" t="s">
        <v>16</v>
      </c>
      <c r="AF14" s="136">
        <v>1</v>
      </c>
      <c r="AH14" s="37"/>
    </row>
    <row r="15" spans="1:173" s="128" customFormat="1" ht="19.5" customHeight="1">
      <c r="A15" s="196">
        <v>10</v>
      </c>
      <c r="B15" s="193" t="s">
        <v>16</v>
      </c>
      <c r="C15" s="150">
        <v>154</v>
      </c>
      <c r="D15" s="182">
        <v>7</v>
      </c>
      <c r="E15" s="146">
        <v>9</v>
      </c>
      <c r="F15" s="145">
        <v>181</v>
      </c>
      <c r="G15" s="178">
        <f t="shared" si="0"/>
        <v>42.588235294117645</v>
      </c>
      <c r="H15" s="147" t="s">
        <v>16</v>
      </c>
      <c r="I15" s="146" t="s">
        <v>16</v>
      </c>
      <c r="J15" s="146" t="s">
        <v>16</v>
      </c>
      <c r="K15" s="146">
        <v>3</v>
      </c>
      <c r="L15" s="148" t="s">
        <v>16</v>
      </c>
      <c r="M15" s="147">
        <v>7</v>
      </c>
      <c r="N15" s="146">
        <v>3</v>
      </c>
      <c r="O15" s="146" t="s">
        <v>16</v>
      </c>
      <c r="P15" s="146" t="s">
        <v>16</v>
      </c>
      <c r="Q15" s="133" t="s">
        <v>16</v>
      </c>
      <c r="R15" s="134" t="s">
        <v>16</v>
      </c>
      <c r="S15" s="149" t="s">
        <v>16</v>
      </c>
      <c r="T15" s="150">
        <v>50</v>
      </c>
      <c r="U15" s="147" t="s">
        <v>16</v>
      </c>
      <c r="V15" s="146" t="s">
        <v>16</v>
      </c>
      <c r="W15" s="146" t="s">
        <v>16</v>
      </c>
      <c r="X15" s="146" t="s">
        <v>16</v>
      </c>
      <c r="Y15" s="146" t="s">
        <v>16</v>
      </c>
      <c r="Z15" s="150" t="s">
        <v>16</v>
      </c>
      <c r="AA15" s="147" t="s">
        <v>16</v>
      </c>
      <c r="AB15" s="146">
        <v>17</v>
      </c>
      <c r="AC15" s="185" t="s">
        <v>16</v>
      </c>
      <c r="AD15" s="185" t="s">
        <v>16</v>
      </c>
      <c r="AE15" s="185" t="s">
        <v>16</v>
      </c>
      <c r="AF15" s="186" t="s">
        <v>16</v>
      </c>
      <c r="AG15" s="9"/>
      <c r="AH15" s="37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</row>
    <row r="16" spans="1:34" ht="19.5" customHeight="1">
      <c r="A16" s="195">
        <v>11</v>
      </c>
      <c r="B16" s="192">
        <v>1073</v>
      </c>
      <c r="C16" s="144">
        <v>128</v>
      </c>
      <c r="D16" s="181">
        <v>30</v>
      </c>
      <c r="E16" s="138">
        <v>51</v>
      </c>
      <c r="F16" s="137">
        <f>181+30-51</f>
        <v>160</v>
      </c>
      <c r="G16" s="177">
        <f t="shared" si="0"/>
        <v>37.64705882352941</v>
      </c>
      <c r="H16" s="139">
        <v>5</v>
      </c>
      <c r="I16" s="138">
        <f>29+2</f>
        <v>31</v>
      </c>
      <c r="J16" s="138">
        <v>2</v>
      </c>
      <c r="K16" s="138">
        <v>3</v>
      </c>
      <c r="L16" s="140" t="s">
        <v>16</v>
      </c>
      <c r="M16" s="139">
        <v>54</v>
      </c>
      <c r="N16" s="138">
        <v>8</v>
      </c>
      <c r="O16" s="138">
        <v>15</v>
      </c>
      <c r="P16" s="138">
        <v>7</v>
      </c>
      <c r="Q16" s="133" t="s">
        <v>16</v>
      </c>
      <c r="R16" s="134" t="s">
        <v>16</v>
      </c>
      <c r="S16" s="143">
        <v>163</v>
      </c>
      <c r="T16" s="144">
        <v>161</v>
      </c>
      <c r="U16" s="139">
        <v>4</v>
      </c>
      <c r="V16" s="138">
        <v>7</v>
      </c>
      <c r="W16" s="138">
        <v>7</v>
      </c>
      <c r="X16" s="138">
        <v>5</v>
      </c>
      <c r="Y16" s="138" t="s">
        <v>16</v>
      </c>
      <c r="Z16" s="144" t="s">
        <v>16</v>
      </c>
      <c r="AA16" s="139">
        <v>191</v>
      </c>
      <c r="AB16" s="138">
        <v>228</v>
      </c>
      <c r="AC16" s="130">
        <v>2</v>
      </c>
      <c r="AD16" s="130">
        <v>1</v>
      </c>
      <c r="AE16" s="130" t="s">
        <v>16</v>
      </c>
      <c r="AF16" s="136">
        <v>2</v>
      </c>
      <c r="AH16" s="37"/>
    </row>
    <row r="17" spans="1:34" ht="19.5" customHeight="1">
      <c r="A17" s="195">
        <v>12</v>
      </c>
      <c r="B17" s="192">
        <v>986</v>
      </c>
      <c r="C17" s="144">
        <v>114</v>
      </c>
      <c r="D17" s="181">
        <v>27</v>
      </c>
      <c r="E17" s="138">
        <v>55</v>
      </c>
      <c r="F17" s="137">
        <f>160-28</f>
        <v>132</v>
      </c>
      <c r="G17" s="177">
        <f t="shared" si="0"/>
        <v>31.058823529411764</v>
      </c>
      <c r="H17" s="139">
        <v>10</v>
      </c>
      <c r="I17" s="138">
        <v>31</v>
      </c>
      <c r="J17" s="138">
        <v>1</v>
      </c>
      <c r="K17" s="138">
        <v>4</v>
      </c>
      <c r="L17" s="140">
        <v>2</v>
      </c>
      <c r="M17" s="139">
        <v>56</v>
      </c>
      <c r="N17" s="138">
        <v>8</v>
      </c>
      <c r="O17" s="138">
        <v>19</v>
      </c>
      <c r="P17" s="138">
        <v>3</v>
      </c>
      <c r="Q17" s="133" t="s">
        <v>16</v>
      </c>
      <c r="R17" s="134" t="s">
        <v>16</v>
      </c>
      <c r="S17" s="143">
        <v>134</v>
      </c>
      <c r="T17" s="144">
        <v>186</v>
      </c>
      <c r="U17" s="139">
        <v>5</v>
      </c>
      <c r="V17" s="138">
        <v>7</v>
      </c>
      <c r="W17" s="138">
        <v>11</v>
      </c>
      <c r="X17" s="138">
        <v>5</v>
      </c>
      <c r="Y17" s="138" t="s">
        <v>16</v>
      </c>
      <c r="Z17" s="144">
        <v>3</v>
      </c>
      <c r="AA17" s="139">
        <v>152</v>
      </c>
      <c r="AB17" s="138">
        <v>189</v>
      </c>
      <c r="AC17" s="130">
        <v>1</v>
      </c>
      <c r="AD17" s="130" t="s">
        <v>16</v>
      </c>
      <c r="AE17" s="130" t="s">
        <v>16</v>
      </c>
      <c r="AF17" s="136" t="s">
        <v>16</v>
      </c>
      <c r="AH17" s="37"/>
    </row>
    <row r="18" spans="1:173" s="128" customFormat="1" ht="19.5" customHeight="1">
      <c r="A18" s="196">
        <v>13</v>
      </c>
      <c r="B18" s="193" t="s">
        <v>16</v>
      </c>
      <c r="C18" s="150">
        <v>163</v>
      </c>
      <c r="D18" s="182">
        <v>8</v>
      </c>
      <c r="E18" s="146">
        <v>18</v>
      </c>
      <c r="F18" s="145">
        <f>140-18</f>
        <v>122</v>
      </c>
      <c r="G18" s="177">
        <f t="shared" si="0"/>
        <v>28.705882352941178</v>
      </c>
      <c r="H18" s="147" t="s">
        <v>16</v>
      </c>
      <c r="I18" s="146" t="s">
        <v>16</v>
      </c>
      <c r="J18" s="146" t="s">
        <v>16</v>
      </c>
      <c r="K18" s="146">
        <v>2</v>
      </c>
      <c r="L18" s="148" t="s">
        <v>16</v>
      </c>
      <c r="M18" s="147">
        <v>5</v>
      </c>
      <c r="N18" s="146">
        <v>3</v>
      </c>
      <c r="O18" s="146" t="s">
        <v>16</v>
      </c>
      <c r="P18" s="146" t="s">
        <v>16</v>
      </c>
      <c r="Q18" s="133" t="s">
        <v>16</v>
      </c>
      <c r="R18" s="134" t="s">
        <v>16</v>
      </c>
      <c r="S18" s="149" t="s">
        <v>16</v>
      </c>
      <c r="T18" s="150">
        <v>65</v>
      </c>
      <c r="U18" s="147" t="s">
        <v>16</v>
      </c>
      <c r="V18" s="146" t="s">
        <v>16</v>
      </c>
      <c r="W18" s="146" t="s">
        <v>16</v>
      </c>
      <c r="X18" s="146" t="s">
        <v>16</v>
      </c>
      <c r="Y18" s="146" t="s">
        <v>16</v>
      </c>
      <c r="Z18" s="150" t="s">
        <v>16</v>
      </c>
      <c r="AA18" s="147" t="s">
        <v>16</v>
      </c>
      <c r="AB18" s="146">
        <v>25</v>
      </c>
      <c r="AC18" s="185" t="s">
        <v>16</v>
      </c>
      <c r="AD18" s="185" t="s">
        <v>16</v>
      </c>
      <c r="AE18" s="185" t="s">
        <v>16</v>
      </c>
      <c r="AF18" s="186" t="s">
        <v>16</v>
      </c>
      <c r="AG18" s="9"/>
      <c r="AH18" s="37"/>
      <c r="AI18" s="9"/>
      <c r="AJ18" s="76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</row>
    <row r="19" spans="1:173" s="128" customFormat="1" ht="19.5" customHeight="1">
      <c r="A19" s="196">
        <v>14</v>
      </c>
      <c r="B19" s="193" t="s">
        <v>16</v>
      </c>
      <c r="C19" s="150">
        <v>225</v>
      </c>
      <c r="D19" s="182">
        <v>13</v>
      </c>
      <c r="E19" s="146">
        <v>7</v>
      </c>
      <c r="F19" s="145">
        <v>128</v>
      </c>
      <c r="G19" s="177">
        <f t="shared" si="0"/>
        <v>30.11764705882353</v>
      </c>
      <c r="H19" s="147" t="s">
        <v>16</v>
      </c>
      <c r="I19" s="146" t="s">
        <v>16</v>
      </c>
      <c r="J19" s="146" t="s">
        <v>16</v>
      </c>
      <c r="K19" s="146">
        <v>1</v>
      </c>
      <c r="L19" s="148" t="s">
        <v>16</v>
      </c>
      <c r="M19" s="147">
        <v>19</v>
      </c>
      <c r="N19" s="146">
        <v>2</v>
      </c>
      <c r="O19" s="146" t="s">
        <v>16</v>
      </c>
      <c r="P19" s="146" t="s">
        <v>16</v>
      </c>
      <c r="Q19" s="133" t="s">
        <v>16</v>
      </c>
      <c r="R19" s="134" t="s">
        <v>16</v>
      </c>
      <c r="S19" s="149" t="s">
        <v>16</v>
      </c>
      <c r="T19" s="150">
        <v>38</v>
      </c>
      <c r="U19" s="147" t="s">
        <v>16</v>
      </c>
      <c r="V19" s="146" t="s">
        <v>16</v>
      </c>
      <c r="W19" s="146" t="s">
        <v>16</v>
      </c>
      <c r="X19" s="146" t="s">
        <v>16</v>
      </c>
      <c r="Y19" s="146" t="s">
        <v>16</v>
      </c>
      <c r="Z19" s="150" t="s">
        <v>16</v>
      </c>
      <c r="AA19" s="147" t="s">
        <v>16</v>
      </c>
      <c r="AB19" s="146">
        <v>44</v>
      </c>
      <c r="AC19" s="185" t="s">
        <v>16</v>
      </c>
      <c r="AD19" s="185" t="s">
        <v>16</v>
      </c>
      <c r="AE19" s="185" t="s">
        <v>16</v>
      </c>
      <c r="AF19" s="150" t="s">
        <v>16</v>
      </c>
      <c r="AG19" s="9"/>
      <c r="AH19" s="37"/>
      <c r="AI19" s="9"/>
      <c r="AJ19" s="76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</row>
    <row r="20" spans="1:34" ht="19.5" customHeight="1">
      <c r="A20" s="195">
        <v>15</v>
      </c>
      <c r="B20" s="192">
        <v>1097</v>
      </c>
      <c r="C20" s="144">
        <v>141</v>
      </c>
      <c r="D20" s="181">
        <v>47</v>
      </c>
      <c r="E20" s="138">
        <v>23</v>
      </c>
      <c r="F20" s="137">
        <f>128+47-23</f>
        <v>152</v>
      </c>
      <c r="G20" s="177">
        <f t="shared" si="0"/>
        <v>35.76470588235294</v>
      </c>
      <c r="H20" s="139">
        <v>3</v>
      </c>
      <c r="I20" s="138">
        <f>27+2</f>
        <v>29</v>
      </c>
      <c r="J20" s="138" t="s">
        <v>16</v>
      </c>
      <c r="K20" s="138">
        <v>2</v>
      </c>
      <c r="L20" s="140">
        <v>1</v>
      </c>
      <c r="M20" s="139">
        <v>61</v>
      </c>
      <c r="N20" s="138">
        <v>17</v>
      </c>
      <c r="O20" s="138">
        <v>9</v>
      </c>
      <c r="P20" s="138">
        <v>1</v>
      </c>
      <c r="Q20" s="133" t="s">
        <v>16</v>
      </c>
      <c r="R20" s="134" t="s">
        <v>16</v>
      </c>
      <c r="S20" s="143">
        <v>133</v>
      </c>
      <c r="T20" s="144">
        <v>225</v>
      </c>
      <c r="U20" s="139">
        <v>1</v>
      </c>
      <c r="V20" s="138">
        <v>2</v>
      </c>
      <c r="W20" s="138">
        <v>10</v>
      </c>
      <c r="X20" s="138">
        <v>5</v>
      </c>
      <c r="Y20" s="138">
        <v>1</v>
      </c>
      <c r="Z20" s="144">
        <v>3</v>
      </c>
      <c r="AA20" s="139">
        <v>202</v>
      </c>
      <c r="AB20" s="138">
        <v>276</v>
      </c>
      <c r="AC20" s="130">
        <v>1</v>
      </c>
      <c r="AD20" s="130" t="s">
        <v>16</v>
      </c>
      <c r="AE20" s="130" t="s">
        <v>16</v>
      </c>
      <c r="AF20" s="136">
        <v>1</v>
      </c>
      <c r="AH20" s="37"/>
    </row>
    <row r="21" spans="1:34" ht="19.5" customHeight="1">
      <c r="A21" s="195">
        <v>16</v>
      </c>
      <c r="B21" s="192">
        <v>948</v>
      </c>
      <c r="C21" s="144">
        <v>120</v>
      </c>
      <c r="D21" s="181">
        <v>27</v>
      </c>
      <c r="E21" s="138">
        <v>29</v>
      </c>
      <c r="F21" s="137">
        <v>150</v>
      </c>
      <c r="G21" s="177">
        <f t="shared" si="0"/>
        <v>35.294117647058826</v>
      </c>
      <c r="H21" s="139">
        <v>4</v>
      </c>
      <c r="I21" s="138">
        <v>21</v>
      </c>
      <c r="J21" s="138" t="s">
        <v>16</v>
      </c>
      <c r="K21" s="138">
        <v>3</v>
      </c>
      <c r="L21" s="140">
        <v>1</v>
      </c>
      <c r="M21" s="139">
        <v>53</v>
      </c>
      <c r="N21" s="138">
        <v>1</v>
      </c>
      <c r="O21" s="138">
        <v>19</v>
      </c>
      <c r="P21" s="138">
        <v>9</v>
      </c>
      <c r="Q21" s="133" t="s">
        <v>16</v>
      </c>
      <c r="R21" s="134" t="s">
        <v>16</v>
      </c>
      <c r="S21" s="153">
        <v>82</v>
      </c>
      <c r="T21" s="144">
        <v>315</v>
      </c>
      <c r="U21" s="139">
        <v>4</v>
      </c>
      <c r="V21" s="138">
        <v>19</v>
      </c>
      <c r="W21" s="138">
        <v>2</v>
      </c>
      <c r="X21" s="138">
        <v>4</v>
      </c>
      <c r="Y21" s="138" t="s">
        <v>16</v>
      </c>
      <c r="Z21" s="144" t="s">
        <v>16</v>
      </c>
      <c r="AA21" s="139">
        <v>301</v>
      </c>
      <c r="AB21" s="138">
        <v>92</v>
      </c>
      <c r="AC21" s="130">
        <v>1</v>
      </c>
      <c r="AD21" s="130" t="s">
        <v>16</v>
      </c>
      <c r="AE21" s="130" t="s">
        <v>16</v>
      </c>
      <c r="AF21" s="136" t="s">
        <v>16</v>
      </c>
      <c r="AH21" s="37"/>
    </row>
    <row r="22" spans="1:173" s="128" customFormat="1" ht="19.5" customHeight="1">
      <c r="A22" s="196">
        <v>17</v>
      </c>
      <c r="B22" s="193" t="s">
        <v>16</v>
      </c>
      <c r="C22" s="150">
        <v>184</v>
      </c>
      <c r="D22" s="182">
        <v>7</v>
      </c>
      <c r="E22" s="146">
        <v>7</v>
      </c>
      <c r="F22" s="145">
        <v>150</v>
      </c>
      <c r="G22" s="177">
        <f t="shared" si="0"/>
        <v>35.294117647058826</v>
      </c>
      <c r="H22" s="147" t="s">
        <v>16</v>
      </c>
      <c r="I22" s="146" t="s">
        <v>16</v>
      </c>
      <c r="J22" s="146" t="s">
        <v>16</v>
      </c>
      <c r="K22" s="146">
        <v>3</v>
      </c>
      <c r="L22" s="148" t="s">
        <v>16</v>
      </c>
      <c r="M22" s="147">
        <v>8</v>
      </c>
      <c r="N22" s="146">
        <v>2</v>
      </c>
      <c r="O22" s="146" t="s">
        <v>16</v>
      </c>
      <c r="P22" s="146" t="s">
        <v>16</v>
      </c>
      <c r="Q22" s="133" t="s">
        <v>16</v>
      </c>
      <c r="R22" s="134" t="s">
        <v>16</v>
      </c>
      <c r="S22" s="149" t="s">
        <v>16</v>
      </c>
      <c r="T22" s="150">
        <v>62</v>
      </c>
      <c r="U22" s="147" t="s">
        <v>16</v>
      </c>
      <c r="V22" s="146" t="s">
        <v>16</v>
      </c>
      <c r="W22" s="146" t="s">
        <v>16</v>
      </c>
      <c r="X22" s="146" t="s">
        <v>16</v>
      </c>
      <c r="Y22" s="146" t="s">
        <v>16</v>
      </c>
      <c r="Z22" s="150" t="s">
        <v>16</v>
      </c>
      <c r="AA22" s="147" t="s">
        <v>16</v>
      </c>
      <c r="AB22" s="146">
        <v>14</v>
      </c>
      <c r="AC22" s="185" t="s">
        <v>16</v>
      </c>
      <c r="AD22" s="185" t="s">
        <v>16</v>
      </c>
      <c r="AE22" s="185" t="s">
        <v>16</v>
      </c>
      <c r="AF22" s="186" t="s">
        <v>16</v>
      </c>
      <c r="AG22" s="9"/>
      <c r="AH22" s="37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</row>
    <row r="23" spans="1:34" ht="19.5" customHeight="1">
      <c r="A23" s="195">
        <v>18</v>
      </c>
      <c r="B23" s="192">
        <v>1177</v>
      </c>
      <c r="C23" s="144">
        <v>100</v>
      </c>
      <c r="D23" s="181">
        <v>57</v>
      </c>
      <c r="E23" s="138">
        <v>29</v>
      </c>
      <c r="F23" s="137">
        <f>150+57-29</f>
        <v>178</v>
      </c>
      <c r="G23" s="177">
        <f t="shared" si="0"/>
        <v>41.88235294117647</v>
      </c>
      <c r="H23" s="139">
        <v>2</v>
      </c>
      <c r="I23" s="138">
        <f>23+2</f>
        <v>25</v>
      </c>
      <c r="J23" s="138">
        <v>2</v>
      </c>
      <c r="K23" s="138">
        <v>2</v>
      </c>
      <c r="L23" s="140" t="s">
        <v>16</v>
      </c>
      <c r="M23" s="139">
        <v>57</v>
      </c>
      <c r="N23" s="138">
        <v>17</v>
      </c>
      <c r="O23" s="138">
        <v>18</v>
      </c>
      <c r="P23" s="138">
        <v>7</v>
      </c>
      <c r="Q23" s="133" t="s">
        <v>16</v>
      </c>
      <c r="R23" s="134" t="s">
        <v>16</v>
      </c>
      <c r="S23" s="143">
        <v>167</v>
      </c>
      <c r="T23" s="144">
        <v>229</v>
      </c>
      <c r="U23" s="139">
        <v>7</v>
      </c>
      <c r="V23" s="138">
        <v>14</v>
      </c>
      <c r="W23" s="138">
        <v>4</v>
      </c>
      <c r="X23" s="138">
        <v>3</v>
      </c>
      <c r="Y23" s="138" t="s">
        <v>16</v>
      </c>
      <c r="Z23" s="144">
        <v>1</v>
      </c>
      <c r="AA23" s="139">
        <v>291</v>
      </c>
      <c r="AB23" s="138">
        <v>202</v>
      </c>
      <c r="AC23" s="130">
        <v>1</v>
      </c>
      <c r="AD23" s="130">
        <v>3</v>
      </c>
      <c r="AE23" s="130" t="s">
        <v>16</v>
      </c>
      <c r="AF23" s="136">
        <v>2</v>
      </c>
      <c r="AH23" s="37"/>
    </row>
    <row r="24" spans="1:34" ht="19.5" customHeight="1">
      <c r="A24" s="195">
        <v>19</v>
      </c>
      <c r="B24" s="192">
        <v>1119</v>
      </c>
      <c r="C24" s="144">
        <v>126</v>
      </c>
      <c r="D24" s="181">
        <v>42</v>
      </c>
      <c r="E24" s="138">
        <v>27</v>
      </c>
      <c r="F24" s="137">
        <v>193</v>
      </c>
      <c r="G24" s="177">
        <f t="shared" si="0"/>
        <v>45.411764705882355</v>
      </c>
      <c r="H24" s="139">
        <v>12</v>
      </c>
      <c r="I24" s="138">
        <f>15+1</f>
        <v>16</v>
      </c>
      <c r="J24" s="138" t="s">
        <v>16</v>
      </c>
      <c r="K24" s="138">
        <v>7</v>
      </c>
      <c r="L24" s="140">
        <v>2</v>
      </c>
      <c r="M24" s="139">
        <v>65</v>
      </c>
      <c r="N24" s="138">
        <v>14</v>
      </c>
      <c r="O24" s="138">
        <v>17</v>
      </c>
      <c r="P24" s="138">
        <v>11</v>
      </c>
      <c r="Q24" s="133" t="s">
        <v>16</v>
      </c>
      <c r="R24" s="134" t="s">
        <v>16</v>
      </c>
      <c r="S24" s="143">
        <v>141</v>
      </c>
      <c r="T24" s="144">
        <v>298</v>
      </c>
      <c r="U24" s="139">
        <v>2</v>
      </c>
      <c r="V24" s="138">
        <v>17</v>
      </c>
      <c r="W24" s="138">
        <v>21</v>
      </c>
      <c r="X24" s="138">
        <v>8</v>
      </c>
      <c r="Y24" s="138" t="s">
        <v>16</v>
      </c>
      <c r="Z24" s="144">
        <v>2</v>
      </c>
      <c r="AA24" s="139">
        <v>237</v>
      </c>
      <c r="AB24" s="138">
        <v>272</v>
      </c>
      <c r="AC24" s="130">
        <v>1</v>
      </c>
      <c r="AD24" s="130">
        <v>1</v>
      </c>
      <c r="AE24" s="130" t="s">
        <v>16</v>
      </c>
      <c r="AF24" s="136">
        <v>2</v>
      </c>
      <c r="AH24" s="37"/>
    </row>
    <row r="25" spans="1:34" ht="19.5" customHeight="1">
      <c r="A25" s="195">
        <v>20</v>
      </c>
      <c r="B25" s="192">
        <v>939</v>
      </c>
      <c r="C25" s="144">
        <v>116</v>
      </c>
      <c r="D25" s="181">
        <v>46</v>
      </c>
      <c r="E25" s="138">
        <v>16</v>
      </c>
      <c r="F25" s="137">
        <f>193+46-16</f>
        <v>223</v>
      </c>
      <c r="G25" s="177">
        <f t="shared" si="0"/>
        <v>52.470588235294116</v>
      </c>
      <c r="H25" s="139">
        <v>11</v>
      </c>
      <c r="I25" s="138">
        <f>27+5</f>
        <v>32</v>
      </c>
      <c r="J25" s="138">
        <v>1</v>
      </c>
      <c r="K25" s="138" t="s">
        <v>16</v>
      </c>
      <c r="L25" s="140">
        <v>1</v>
      </c>
      <c r="M25" s="139">
        <v>60</v>
      </c>
      <c r="N25" s="138">
        <v>14</v>
      </c>
      <c r="O25" s="138">
        <v>18</v>
      </c>
      <c r="P25" s="138">
        <v>6</v>
      </c>
      <c r="Q25" s="141" t="s">
        <v>16</v>
      </c>
      <c r="R25" s="142" t="s">
        <v>27</v>
      </c>
      <c r="S25" s="143">
        <v>89</v>
      </c>
      <c r="T25" s="144">
        <v>237</v>
      </c>
      <c r="U25" s="139">
        <v>3</v>
      </c>
      <c r="V25" s="138">
        <v>10</v>
      </c>
      <c r="W25" s="138">
        <v>23</v>
      </c>
      <c r="X25" s="138">
        <v>7</v>
      </c>
      <c r="Y25" s="138">
        <v>1</v>
      </c>
      <c r="Z25" s="144">
        <v>4</v>
      </c>
      <c r="AA25" s="139">
        <v>249</v>
      </c>
      <c r="AB25" s="138">
        <v>239</v>
      </c>
      <c r="AC25" s="130">
        <v>7</v>
      </c>
      <c r="AD25" s="130">
        <v>1</v>
      </c>
      <c r="AE25" s="130">
        <v>1</v>
      </c>
      <c r="AF25" s="136">
        <v>2</v>
      </c>
      <c r="AH25" s="37"/>
    </row>
    <row r="26" spans="1:34" ht="19.5" customHeight="1">
      <c r="A26" s="195">
        <v>21</v>
      </c>
      <c r="B26" s="192">
        <v>1006</v>
      </c>
      <c r="C26" s="144">
        <v>136</v>
      </c>
      <c r="D26" s="181">
        <v>41</v>
      </c>
      <c r="E26" s="138">
        <v>24</v>
      </c>
      <c r="F26" s="137">
        <f>223+41-24</f>
        <v>240</v>
      </c>
      <c r="G26" s="177">
        <f t="shared" si="0"/>
        <v>56.470588235294116</v>
      </c>
      <c r="H26" s="139">
        <v>11</v>
      </c>
      <c r="I26" s="138">
        <f>25+3</f>
        <v>28</v>
      </c>
      <c r="J26" s="138" t="s">
        <v>16</v>
      </c>
      <c r="K26" s="138">
        <v>4</v>
      </c>
      <c r="L26" s="140" t="s">
        <v>16</v>
      </c>
      <c r="M26" s="139">
        <v>53</v>
      </c>
      <c r="N26" s="138">
        <v>14</v>
      </c>
      <c r="O26" s="138">
        <v>18</v>
      </c>
      <c r="P26" s="138">
        <v>11</v>
      </c>
      <c r="Q26" s="133" t="s">
        <v>16</v>
      </c>
      <c r="R26" s="134" t="s">
        <v>16</v>
      </c>
      <c r="S26" s="143">
        <v>187</v>
      </c>
      <c r="T26" s="144">
        <v>228</v>
      </c>
      <c r="U26" s="139">
        <v>5</v>
      </c>
      <c r="V26" s="138">
        <v>9</v>
      </c>
      <c r="W26" s="138">
        <v>10</v>
      </c>
      <c r="X26" s="138">
        <v>4</v>
      </c>
      <c r="Y26" s="138" t="s">
        <v>16</v>
      </c>
      <c r="Z26" s="144">
        <v>2</v>
      </c>
      <c r="AA26" s="139">
        <v>327</v>
      </c>
      <c r="AB26" s="138">
        <v>313</v>
      </c>
      <c r="AC26" s="130" t="s">
        <v>16</v>
      </c>
      <c r="AD26" s="130" t="s">
        <v>16</v>
      </c>
      <c r="AE26" s="130" t="s">
        <v>16</v>
      </c>
      <c r="AF26" s="136">
        <v>3</v>
      </c>
      <c r="AH26" s="37"/>
    </row>
    <row r="27" spans="1:173" s="128" customFormat="1" ht="19.5" customHeight="1">
      <c r="A27" s="196">
        <v>22</v>
      </c>
      <c r="B27" s="193" t="s">
        <v>16</v>
      </c>
      <c r="C27" s="150">
        <v>223</v>
      </c>
      <c r="D27" s="182">
        <v>6</v>
      </c>
      <c r="E27" s="146">
        <v>12</v>
      </c>
      <c r="F27" s="145">
        <v>234</v>
      </c>
      <c r="G27" s="177">
        <f t="shared" si="0"/>
        <v>55.05882352941177</v>
      </c>
      <c r="H27" s="147" t="s">
        <v>16</v>
      </c>
      <c r="I27" s="146" t="s">
        <v>16</v>
      </c>
      <c r="J27" s="146" t="s">
        <v>16</v>
      </c>
      <c r="K27" s="146">
        <v>5</v>
      </c>
      <c r="L27" s="148" t="s">
        <v>16</v>
      </c>
      <c r="M27" s="147">
        <v>11</v>
      </c>
      <c r="N27" s="146">
        <v>4</v>
      </c>
      <c r="O27" s="146" t="s">
        <v>16</v>
      </c>
      <c r="P27" s="146" t="s">
        <v>16</v>
      </c>
      <c r="Q27" s="133" t="s">
        <v>16</v>
      </c>
      <c r="R27" s="134" t="s">
        <v>16</v>
      </c>
      <c r="S27" s="149" t="s">
        <v>16</v>
      </c>
      <c r="T27" s="150">
        <v>73</v>
      </c>
      <c r="U27" s="147" t="s">
        <v>16</v>
      </c>
      <c r="V27" s="146" t="s">
        <v>16</v>
      </c>
      <c r="W27" s="146" t="s">
        <v>16</v>
      </c>
      <c r="X27" s="146" t="s">
        <v>16</v>
      </c>
      <c r="Y27" s="146" t="s">
        <v>16</v>
      </c>
      <c r="Z27" s="150" t="s">
        <v>16</v>
      </c>
      <c r="AA27" s="147" t="s">
        <v>16</v>
      </c>
      <c r="AB27" s="146">
        <v>22</v>
      </c>
      <c r="AC27" s="185" t="s">
        <v>16</v>
      </c>
      <c r="AD27" s="185" t="s">
        <v>16</v>
      </c>
      <c r="AE27" s="185" t="s">
        <v>16</v>
      </c>
      <c r="AF27" s="150" t="s">
        <v>16</v>
      </c>
      <c r="AG27" s="9"/>
      <c r="AH27" s="37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</row>
    <row r="28" spans="1:34" ht="19.5" customHeight="1">
      <c r="A28" s="195">
        <v>23</v>
      </c>
      <c r="B28" s="192">
        <v>1091</v>
      </c>
      <c r="C28" s="144">
        <v>137</v>
      </c>
      <c r="D28" s="181">
        <v>24</v>
      </c>
      <c r="E28" s="138">
        <v>45</v>
      </c>
      <c r="F28" s="137">
        <f>234+24-45</f>
        <v>213</v>
      </c>
      <c r="G28" s="177">
        <f t="shared" si="0"/>
        <v>50.11764705882353</v>
      </c>
      <c r="H28" s="139">
        <v>8</v>
      </c>
      <c r="I28" s="138">
        <f>21+6</f>
        <v>27</v>
      </c>
      <c r="J28" s="138" t="s">
        <v>16</v>
      </c>
      <c r="K28" s="138">
        <v>6</v>
      </c>
      <c r="L28" s="140" t="s">
        <v>16</v>
      </c>
      <c r="M28" s="139">
        <v>59</v>
      </c>
      <c r="N28" s="138">
        <v>11</v>
      </c>
      <c r="O28" s="138">
        <v>17</v>
      </c>
      <c r="P28" s="138">
        <v>4</v>
      </c>
      <c r="Q28" s="133" t="s">
        <v>16</v>
      </c>
      <c r="R28" s="134" t="s">
        <v>16</v>
      </c>
      <c r="S28" s="143">
        <v>99</v>
      </c>
      <c r="T28" s="144">
        <v>171</v>
      </c>
      <c r="U28" s="139" t="s">
        <v>16</v>
      </c>
      <c r="V28" s="138">
        <v>6</v>
      </c>
      <c r="W28" s="138">
        <v>9</v>
      </c>
      <c r="X28" s="138">
        <v>1</v>
      </c>
      <c r="Y28" s="138" t="s">
        <v>16</v>
      </c>
      <c r="Z28" s="144" t="s">
        <v>16</v>
      </c>
      <c r="AA28" s="139">
        <v>219</v>
      </c>
      <c r="AB28" s="138">
        <v>209</v>
      </c>
      <c r="AC28" s="130">
        <v>3</v>
      </c>
      <c r="AD28" s="130">
        <v>1</v>
      </c>
      <c r="AE28" s="130">
        <v>1</v>
      </c>
      <c r="AF28" s="136">
        <v>1</v>
      </c>
      <c r="AH28" s="37"/>
    </row>
    <row r="29" spans="1:173" s="128" customFormat="1" ht="19.5" customHeight="1">
      <c r="A29" s="196">
        <v>24</v>
      </c>
      <c r="B29" s="193" t="s">
        <v>16</v>
      </c>
      <c r="C29" s="150">
        <v>165</v>
      </c>
      <c r="D29" s="182">
        <v>4</v>
      </c>
      <c r="E29" s="146">
        <v>6</v>
      </c>
      <c r="F29" s="145">
        <v>211</v>
      </c>
      <c r="G29" s="177">
        <f t="shared" si="0"/>
        <v>49.64705882352941</v>
      </c>
      <c r="H29" s="147" t="s">
        <v>16</v>
      </c>
      <c r="I29" s="146" t="s">
        <v>16</v>
      </c>
      <c r="J29" s="146" t="s">
        <v>16</v>
      </c>
      <c r="K29" s="146">
        <v>3</v>
      </c>
      <c r="L29" s="148" t="s">
        <v>16</v>
      </c>
      <c r="M29" s="147">
        <v>12</v>
      </c>
      <c r="N29" s="146" t="s">
        <v>16</v>
      </c>
      <c r="O29" s="146" t="s">
        <v>16</v>
      </c>
      <c r="P29" s="146" t="s">
        <v>16</v>
      </c>
      <c r="Q29" s="133" t="s">
        <v>16</v>
      </c>
      <c r="R29" s="134" t="s">
        <v>16</v>
      </c>
      <c r="S29" s="149" t="s">
        <v>16</v>
      </c>
      <c r="T29" s="150">
        <v>40</v>
      </c>
      <c r="U29" s="147" t="s">
        <v>16</v>
      </c>
      <c r="V29" s="146" t="s">
        <v>16</v>
      </c>
      <c r="W29" s="146" t="s">
        <v>16</v>
      </c>
      <c r="X29" s="146" t="s">
        <v>16</v>
      </c>
      <c r="Y29" s="146" t="s">
        <v>16</v>
      </c>
      <c r="Z29" s="150" t="s">
        <v>16</v>
      </c>
      <c r="AA29" s="147" t="s">
        <v>16</v>
      </c>
      <c r="AB29" s="146">
        <v>34</v>
      </c>
      <c r="AC29" s="185" t="s">
        <v>16</v>
      </c>
      <c r="AD29" s="185" t="s">
        <v>16</v>
      </c>
      <c r="AE29" s="185" t="s">
        <v>16</v>
      </c>
      <c r="AF29" s="186" t="s">
        <v>16</v>
      </c>
      <c r="AG29" s="9"/>
      <c r="AH29" s="37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</row>
    <row r="30" spans="1:34" ht="19.5" customHeight="1">
      <c r="A30" s="195">
        <v>25</v>
      </c>
      <c r="B30" s="192">
        <v>1070</v>
      </c>
      <c r="C30" s="144">
        <v>112</v>
      </c>
      <c r="D30" s="181">
        <v>39</v>
      </c>
      <c r="E30" s="138">
        <v>41</v>
      </c>
      <c r="F30" s="137">
        <v>209</v>
      </c>
      <c r="G30" s="177">
        <f t="shared" si="0"/>
        <v>49.1764705882353</v>
      </c>
      <c r="H30" s="139">
        <v>5</v>
      </c>
      <c r="I30" s="138">
        <f>21+1</f>
        <v>22</v>
      </c>
      <c r="J30" s="138">
        <v>2</v>
      </c>
      <c r="K30" s="138">
        <v>5</v>
      </c>
      <c r="L30" s="140">
        <v>1</v>
      </c>
      <c r="M30" s="139">
        <v>39</v>
      </c>
      <c r="N30" s="138">
        <v>10</v>
      </c>
      <c r="O30" s="138">
        <v>17</v>
      </c>
      <c r="P30" s="138">
        <v>5</v>
      </c>
      <c r="Q30" s="133" t="s">
        <v>16</v>
      </c>
      <c r="R30" s="134" t="s">
        <v>16</v>
      </c>
      <c r="S30" s="143">
        <v>105</v>
      </c>
      <c r="T30" s="144">
        <v>166</v>
      </c>
      <c r="U30" s="139">
        <v>3</v>
      </c>
      <c r="V30" s="138">
        <v>8</v>
      </c>
      <c r="W30" s="138">
        <v>20</v>
      </c>
      <c r="X30" s="138">
        <v>8</v>
      </c>
      <c r="Y30" s="138">
        <v>1</v>
      </c>
      <c r="Z30" s="144" t="s">
        <v>16</v>
      </c>
      <c r="AA30" s="139">
        <v>278</v>
      </c>
      <c r="AB30" s="138">
        <v>193</v>
      </c>
      <c r="AC30" s="130">
        <v>9</v>
      </c>
      <c r="AD30" s="130">
        <v>1</v>
      </c>
      <c r="AE30" s="130" t="s">
        <v>16</v>
      </c>
      <c r="AF30" s="136">
        <v>1</v>
      </c>
      <c r="AH30" s="37"/>
    </row>
    <row r="31" spans="1:33" ht="19.5" customHeight="1">
      <c r="A31" s="195">
        <v>26</v>
      </c>
      <c r="B31" s="192">
        <v>1230</v>
      </c>
      <c r="C31" s="144">
        <v>113</v>
      </c>
      <c r="D31" s="181">
        <v>40</v>
      </c>
      <c r="E31" s="138">
        <v>27</v>
      </c>
      <c r="F31" s="137">
        <f>209+40-27</f>
        <v>222</v>
      </c>
      <c r="G31" s="177">
        <f t="shared" si="0"/>
        <v>52.23529411764706</v>
      </c>
      <c r="H31" s="139">
        <v>14</v>
      </c>
      <c r="I31" s="138">
        <f>31+2</f>
        <v>33</v>
      </c>
      <c r="J31" s="138" t="s">
        <v>16</v>
      </c>
      <c r="K31" s="138">
        <v>1</v>
      </c>
      <c r="L31" s="140" t="s">
        <v>16</v>
      </c>
      <c r="M31" s="139">
        <v>56</v>
      </c>
      <c r="N31" s="138">
        <v>11</v>
      </c>
      <c r="O31" s="138">
        <v>12</v>
      </c>
      <c r="P31" s="138">
        <v>7</v>
      </c>
      <c r="Q31" s="133" t="s">
        <v>16</v>
      </c>
      <c r="R31" s="134" t="s">
        <v>16</v>
      </c>
      <c r="S31" s="153">
        <v>165</v>
      </c>
      <c r="T31" s="144">
        <v>162</v>
      </c>
      <c r="U31" s="139">
        <v>5</v>
      </c>
      <c r="V31" s="138">
        <v>2</v>
      </c>
      <c r="W31" s="138">
        <v>15</v>
      </c>
      <c r="X31" s="138">
        <v>4</v>
      </c>
      <c r="Y31" s="138" t="s">
        <v>16</v>
      </c>
      <c r="Z31" s="144">
        <v>1</v>
      </c>
      <c r="AA31" s="139">
        <v>229</v>
      </c>
      <c r="AB31" s="138">
        <v>329</v>
      </c>
      <c r="AC31" s="130">
        <v>4</v>
      </c>
      <c r="AD31" s="130">
        <v>2</v>
      </c>
      <c r="AE31" s="130" t="s">
        <v>16</v>
      </c>
      <c r="AF31" s="136">
        <v>1</v>
      </c>
      <c r="AG31" s="37"/>
    </row>
    <row r="32" spans="1:33" ht="19.5" customHeight="1">
      <c r="A32" s="195">
        <v>27</v>
      </c>
      <c r="B32" s="192">
        <v>900</v>
      </c>
      <c r="C32" s="144">
        <v>115</v>
      </c>
      <c r="D32" s="181">
        <v>34</v>
      </c>
      <c r="E32" s="138">
        <v>42</v>
      </c>
      <c r="F32" s="137">
        <f>222+34-42</f>
        <v>214</v>
      </c>
      <c r="G32" s="177">
        <f t="shared" si="0"/>
        <v>50.35294117647059</v>
      </c>
      <c r="H32" s="139">
        <v>7</v>
      </c>
      <c r="I32" s="138">
        <f>11+1</f>
        <v>12</v>
      </c>
      <c r="J32" s="138" t="s">
        <v>16</v>
      </c>
      <c r="K32" s="138">
        <v>1</v>
      </c>
      <c r="L32" s="140" t="s">
        <v>16</v>
      </c>
      <c r="M32" s="139">
        <v>43</v>
      </c>
      <c r="N32" s="138">
        <v>7</v>
      </c>
      <c r="O32" s="138">
        <v>13</v>
      </c>
      <c r="P32" s="138">
        <v>4</v>
      </c>
      <c r="Q32" s="133" t="s">
        <v>16</v>
      </c>
      <c r="R32" s="134" t="s">
        <v>16</v>
      </c>
      <c r="S32" s="143">
        <v>110</v>
      </c>
      <c r="T32" s="144">
        <v>190</v>
      </c>
      <c r="U32" s="139">
        <v>5</v>
      </c>
      <c r="V32" s="138">
        <v>15</v>
      </c>
      <c r="W32" s="138">
        <v>8</v>
      </c>
      <c r="X32" s="138">
        <v>4</v>
      </c>
      <c r="Y32" s="138" t="s">
        <v>16</v>
      </c>
      <c r="Z32" s="144">
        <v>1</v>
      </c>
      <c r="AA32" s="139">
        <v>157</v>
      </c>
      <c r="AB32" s="138">
        <v>184</v>
      </c>
      <c r="AC32" s="130">
        <v>6</v>
      </c>
      <c r="AD32" s="130" t="s">
        <v>16</v>
      </c>
      <c r="AE32" s="130" t="s">
        <v>16</v>
      </c>
      <c r="AF32" s="136">
        <v>4</v>
      </c>
      <c r="AG32" s="37"/>
    </row>
    <row r="33" spans="1:33" ht="19.5" customHeight="1">
      <c r="A33" s="198">
        <v>28</v>
      </c>
      <c r="B33" s="197">
        <v>1081</v>
      </c>
      <c r="C33" s="161">
        <v>114</v>
      </c>
      <c r="D33" s="184">
        <v>39</v>
      </c>
      <c r="E33" s="154">
        <v>42</v>
      </c>
      <c r="F33" s="155">
        <v>211</v>
      </c>
      <c r="G33" s="177">
        <f t="shared" si="0"/>
        <v>49.64705882352941</v>
      </c>
      <c r="H33" s="156">
        <v>9</v>
      </c>
      <c r="I33" s="154">
        <f>22+1</f>
        <v>23</v>
      </c>
      <c r="J33" s="154" t="s">
        <v>16</v>
      </c>
      <c r="K33" s="154">
        <v>4</v>
      </c>
      <c r="L33" s="157">
        <v>1</v>
      </c>
      <c r="M33" s="156">
        <v>54</v>
      </c>
      <c r="N33" s="154">
        <v>10</v>
      </c>
      <c r="O33" s="154">
        <v>14</v>
      </c>
      <c r="P33" s="154">
        <v>2</v>
      </c>
      <c r="Q33" s="133" t="s">
        <v>16</v>
      </c>
      <c r="R33" s="134" t="s">
        <v>16</v>
      </c>
      <c r="S33" s="160">
        <v>152</v>
      </c>
      <c r="T33" s="161">
        <v>227</v>
      </c>
      <c r="U33" s="156">
        <v>6</v>
      </c>
      <c r="V33" s="154">
        <v>2</v>
      </c>
      <c r="W33" s="154">
        <v>14</v>
      </c>
      <c r="X33" s="154">
        <v>8</v>
      </c>
      <c r="Y33" s="154">
        <v>1</v>
      </c>
      <c r="Z33" s="144" t="s">
        <v>16</v>
      </c>
      <c r="AA33" s="156">
        <v>286</v>
      </c>
      <c r="AB33" s="154">
        <v>234</v>
      </c>
      <c r="AC33" s="130">
        <v>2</v>
      </c>
      <c r="AD33" s="130" t="s">
        <v>16</v>
      </c>
      <c r="AE33" s="130" t="s">
        <v>16</v>
      </c>
      <c r="AF33" s="136">
        <v>1</v>
      </c>
      <c r="AG33" s="37"/>
    </row>
    <row r="34" spans="1:33" ht="19.5" customHeight="1">
      <c r="A34" s="195">
        <v>29</v>
      </c>
      <c r="B34" s="192">
        <v>816</v>
      </c>
      <c r="C34" s="144">
        <v>110</v>
      </c>
      <c r="D34" s="181">
        <v>37</v>
      </c>
      <c r="E34" s="138">
        <v>26</v>
      </c>
      <c r="F34" s="137">
        <f>211+37-26</f>
        <v>222</v>
      </c>
      <c r="G34" s="177">
        <f t="shared" si="0"/>
        <v>52.23529411764706</v>
      </c>
      <c r="H34" s="139">
        <v>9</v>
      </c>
      <c r="I34" s="138">
        <f>9+2</f>
        <v>11</v>
      </c>
      <c r="J34" s="138" t="s">
        <v>16</v>
      </c>
      <c r="K34" s="138">
        <v>2</v>
      </c>
      <c r="L34" s="140" t="s">
        <v>16</v>
      </c>
      <c r="M34" s="139">
        <v>41</v>
      </c>
      <c r="N34" s="138">
        <v>13</v>
      </c>
      <c r="O34" s="138">
        <v>18</v>
      </c>
      <c r="P34" s="138">
        <v>7</v>
      </c>
      <c r="Q34" s="133" t="s">
        <v>16</v>
      </c>
      <c r="R34" s="134" t="s">
        <v>16</v>
      </c>
      <c r="S34" s="143">
        <v>110</v>
      </c>
      <c r="T34" s="144">
        <v>214</v>
      </c>
      <c r="U34" s="139" t="s">
        <v>16</v>
      </c>
      <c r="V34" s="138">
        <v>5</v>
      </c>
      <c r="W34" s="138">
        <v>5</v>
      </c>
      <c r="X34" s="138">
        <v>3</v>
      </c>
      <c r="Y34" s="138" t="s">
        <v>16</v>
      </c>
      <c r="Z34" s="144">
        <v>1</v>
      </c>
      <c r="AA34" s="139">
        <v>112</v>
      </c>
      <c r="AB34" s="138">
        <v>366</v>
      </c>
      <c r="AC34" s="130" t="s">
        <v>16</v>
      </c>
      <c r="AD34" s="130" t="s">
        <v>16</v>
      </c>
      <c r="AE34" s="130" t="s">
        <v>16</v>
      </c>
      <c r="AF34" s="136" t="s">
        <v>16</v>
      </c>
      <c r="AG34" s="37"/>
    </row>
    <row r="35" spans="1:33" ht="19.5" customHeight="1" thickBot="1">
      <c r="A35" s="198">
        <v>30</v>
      </c>
      <c r="B35" s="197">
        <v>909</v>
      </c>
      <c r="C35" s="161">
        <v>154</v>
      </c>
      <c r="D35" s="184">
        <v>30</v>
      </c>
      <c r="E35" s="154">
        <v>44</v>
      </c>
      <c r="F35" s="155">
        <f>222+30-44</f>
        <v>208</v>
      </c>
      <c r="G35" s="179">
        <f t="shared" si="0"/>
        <v>48.94117647058823</v>
      </c>
      <c r="H35" s="156">
        <v>8</v>
      </c>
      <c r="I35" s="154">
        <f>20+3</f>
        <v>23</v>
      </c>
      <c r="J35" s="154" t="s">
        <v>16</v>
      </c>
      <c r="K35" s="154">
        <v>1</v>
      </c>
      <c r="L35" s="157" t="s">
        <v>16</v>
      </c>
      <c r="M35" s="156">
        <v>33</v>
      </c>
      <c r="N35" s="154">
        <v>9</v>
      </c>
      <c r="O35" s="154">
        <v>15</v>
      </c>
      <c r="P35" s="154">
        <v>8</v>
      </c>
      <c r="Q35" s="158" t="s">
        <v>27</v>
      </c>
      <c r="R35" s="159" t="s">
        <v>16</v>
      </c>
      <c r="S35" s="160">
        <v>93</v>
      </c>
      <c r="T35" s="161">
        <v>116</v>
      </c>
      <c r="U35" s="156" t="s">
        <v>16</v>
      </c>
      <c r="V35" s="154">
        <v>5</v>
      </c>
      <c r="W35" s="154">
        <v>4</v>
      </c>
      <c r="X35" s="154">
        <v>4</v>
      </c>
      <c r="Y35" s="154" t="s">
        <v>16</v>
      </c>
      <c r="Z35" s="161">
        <v>5</v>
      </c>
      <c r="AA35" s="156">
        <v>105</v>
      </c>
      <c r="AB35" s="154">
        <v>234</v>
      </c>
      <c r="AC35" s="130">
        <v>3</v>
      </c>
      <c r="AD35" s="130">
        <v>1</v>
      </c>
      <c r="AE35" s="130">
        <v>1</v>
      </c>
      <c r="AF35" s="136">
        <v>4</v>
      </c>
      <c r="AG35" s="37"/>
    </row>
    <row r="36" spans="1:33" ht="19.5" customHeight="1" thickBot="1" thickTop="1">
      <c r="A36" s="199" t="s">
        <v>22</v>
      </c>
      <c r="B36" s="175">
        <f aca="true" t="shared" si="1" ref="B36:P36">SUM(B6:B35)</f>
        <v>22469</v>
      </c>
      <c r="C36" s="162">
        <f t="shared" si="1"/>
        <v>4146</v>
      </c>
      <c r="D36" s="175">
        <f t="shared" si="1"/>
        <v>864</v>
      </c>
      <c r="E36" s="174">
        <f t="shared" si="1"/>
        <v>895</v>
      </c>
      <c r="F36" s="174">
        <f t="shared" si="1"/>
        <v>5873</v>
      </c>
      <c r="G36" s="162">
        <f t="shared" si="1"/>
        <v>1381.8823529411766</v>
      </c>
      <c r="H36" s="175">
        <f t="shared" si="1"/>
        <v>171</v>
      </c>
      <c r="I36" s="174">
        <f t="shared" si="1"/>
        <v>591</v>
      </c>
      <c r="J36" s="174">
        <f t="shared" si="1"/>
        <v>9</v>
      </c>
      <c r="K36" s="174">
        <f t="shared" si="1"/>
        <v>78</v>
      </c>
      <c r="L36" s="162">
        <f t="shared" si="1"/>
        <v>15</v>
      </c>
      <c r="M36" s="175">
        <f t="shared" si="1"/>
        <v>1269</v>
      </c>
      <c r="N36" s="174">
        <f t="shared" si="1"/>
        <v>264</v>
      </c>
      <c r="O36" s="174">
        <f t="shared" si="1"/>
        <v>338</v>
      </c>
      <c r="P36" s="174">
        <f t="shared" si="1"/>
        <v>143</v>
      </c>
      <c r="Q36" s="167" t="s">
        <v>27</v>
      </c>
      <c r="R36" s="190" t="s">
        <v>27</v>
      </c>
      <c r="S36" s="189">
        <f aca="true" t="shared" si="2" ref="S36:AB36">SUM(S6:S35)</f>
        <v>2838</v>
      </c>
      <c r="T36" s="170">
        <f t="shared" si="2"/>
        <v>4901</v>
      </c>
      <c r="U36" s="189">
        <f t="shared" si="2"/>
        <v>83</v>
      </c>
      <c r="V36" s="169">
        <f t="shared" si="2"/>
        <v>188</v>
      </c>
      <c r="W36" s="169">
        <f t="shared" si="2"/>
        <v>216</v>
      </c>
      <c r="X36" s="169">
        <f t="shared" si="2"/>
        <v>110</v>
      </c>
      <c r="Y36" s="169">
        <f t="shared" si="2"/>
        <v>6</v>
      </c>
      <c r="Z36" s="170">
        <f t="shared" si="2"/>
        <v>41</v>
      </c>
      <c r="AA36" s="189">
        <f t="shared" si="2"/>
        <v>4630</v>
      </c>
      <c r="AB36" s="169">
        <f t="shared" si="2"/>
        <v>5452</v>
      </c>
      <c r="AC36" s="169">
        <f>SUM(AC7:AC35)</f>
        <v>60</v>
      </c>
      <c r="AD36" s="169">
        <f>SUM(AD6:AD35)</f>
        <v>18</v>
      </c>
      <c r="AE36" s="169">
        <f>SUM(AE6:AE35)</f>
        <v>7</v>
      </c>
      <c r="AF36" s="170">
        <f>SUM(AF6:AF35)</f>
        <v>32</v>
      </c>
      <c r="AG36" s="37"/>
    </row>
    <row r="37" spans="1:33" s="36" customFormat="1" ht="19.5" customHeight="1" thickBot="1" thickTop="1">
      <c r="A37" s="200" t="s">
        <v>18</v>
      </c>
      <c r="B37" s="165">
        <f>+B36/23</f>
        <v>976.9130434782609</v>
      </c>
      <c r="C37" s="164">
        <f>+C36/30</f>
        <v>138.2</v>
      </c>
      <c r="D37" s="165">
        <f>+D36/30</f>
        <v>28.8</v>
      </c>
      <c r="E37" s="166">
        <f>+E36/30</f>
        <v>29.833333333333332</v>
      </c>
      <c r="F37" s="166">
        <f>+F36/30</f>
        <v>195.76666666666668</v>
      </c>
      <c r="G37" s="684">
        <f>G36/30</f>
        <v>46.06274509803922</v>
      </c>
      <c r="H37" s="165">
        <f>+H36/23</f>
        <v>7.434782608695652</v>
      </c>
      <c r="I37" s="166">
        <f>+I36/23</f>
        <v>25.695652173913043</v>
      </c>
      <c r="J37" s="166" t="s">
        <v>16</v>
      </c>
      <c r="K37" s="166">
        <f>+K36/30</f>
        <v>2.6</v>
      </c>
      <c r="L37" s="164">
        <f>+L36/30</f>
        <v>0.5</v>
      </c>
      <c r="M37" s="165">
        <f>+M36/30</f>
        <v>42.3</v>
      </c>
      <c r="N37" s="165">
        <f>+N36/30</f>
        <v>8.8</v>
      </c>
      <c r="O37" s="166">
        <f>+O36/23</f>
        <v>14.695652173913043</v>
      </c>
      <c r="P37" s="166">
        <f>+P36/23</f>
        <v>6.217391304347826</v>
      </c>
      <c r="Q37" s="168" t="s">
        <v>16</v>
      </c>
      <c r="R37" s="171" t="s">
        <v>16</v>
      </c>
      <c r="S37" s="172">
        <f>+S36/23</f>
        <v>123.3913043478261</v>
      </c>
      <c r="T37" s="173">
        <f>+T36/30</f>
        <v>163.36666666666667</v>
      </c>
      <c r="U37" s="172">
        <f>+U36/23</f>
        <v>3.608695652173913</v>
      </c>
      <c r="V37" s="163">
        <f>+V36/23</f>
        <v>8.173913043478262</v>
      </c>
      <c r="W37" s="163">
        <f>+W36/23</f>
        <v>9.391304347826088</v>
      </c>
      <c r="X37" s="163">
        <f>+X36/23</f>
        <v>4.782608695652174</v>
      </c>
      <c r="Y37" s="163" t="s">
        <v>16</v>
      </c>
      <c r="Z37" s="173">
        <f>+Z36/23</f>
        <v>1.7826086956521738</v>
      </c>
      <c r="AA37" s="172">
        <f>+AA36/23</f>
        <v>201.30434782608697</v>
      </c>
      <c r="AB37" s="163">
        <f>+AB36/30</f>
        <v>181.73333333333332</v>
      </c>
      <c r="AC37" s="172">
        <f>+AC36/23</f>
        <v>2.608695652173913</v>
      </c>
      <c r="AD37" s="172">
        <f>+AD36/23</f>
        <v>0.782608695652174</v>
      </c>
      <c r="AE37" s="172" t="s">
        <v>16</v>
      </c>
      <c r="AF37" s="173">
        <f>+AF36/23</f>
        <v>1.391304347826087</v>
      </c>
      <c r="AG37" s="38"/>
    </row>
    <row r="38" spans="1:33" ht="13.5" thickTop="1">
      <c r="A38" s="39"/>
      <c r="B38" s="40"/>
      <c r="C38" s="40"/>
      <c r="D38" s="40"/>
      <c r="E38" s="40"/>
      <c r="F38" s="39"/>
      <c r="G38" s="37"/>
      <c r="H38" s="39"/>
      <c r="I38" s="39"/>
      <c r="J38" s="39"/>
      <c r="K38" s="39"/>
      <c r="L38" s="106"/>
      <c r="M38" s="107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7"/>
    </row>
    <row r="39" spans="1:33" ht="20.25">
      <c r="A39" s="536" t="s">
        <v>47</v>
      </c>
      <c r="B39" s="536"/>
      <c r="C39" s="536"/>
      <c r="D39" s="188" t="s">
        <v>49</v>
      </c>
      <c r="E39" s="188"/>
      <c r="G39" s="187"/>
      <c r="H39" s="39"/>
      <c r="I39" s="39"/>
      <c r="J39" s="39"/>
      <c r="K39" s="39"/>
      <c r="L39" s="106"/>
      <c r="M39" s="106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7"/>
    </row>
    <row r="40" spans="1:33" ht="12.75">
      <c r="A40" s="39"/>
      <c r="B40" s="40"/>
      <c r="C40" s="40"/>
      <c r="E40" s="40"/>
      <c r="F40" s="39"/>
      <c r="G40" s="40"/>
      <c r="H40" s="39"/>
      <c r="I40" s="39"/>
      <c r="J40" s="39"/>
      <c r="K40" s="39"/>
      <c r="L40" s="106"/>
      <c r="M40" s="106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7"/>
    </row>
    <row r="41" spans="1:33" ht="15.75">
      <c r="A41" s="39"/>
      <c r="B41" s="40"/>
      <c r="C41" s="40"/>
      <c r="D41" s="40"/>
      <c r="E41" s="40"/>
      <c r="F41" s="39"/>
      <c r="G41" s="37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3" t="s">
        <v>29</v>
      </c>
      <c r="AA41" s="39"/>
      <c r="AB41" s="39"/>
      <c r="AC41" s="39"/>
      <c r="AD41" s="39"/>
      <c r="AE41" s="39"/>
      <c r="AF41" s="39"/>
      <c r="AG41" s="37"/>
    </row>
    <row r="42" ht="12.75">
      <c r="G42" s="42"/>
    </row>
    <row r="43" ht="12.75">
      <c r="N43" s="8"/>
    </row>
    <row r="44" spans="14:15" ht="12.75">
      <c r="N44" s="8"/>
      <c r="O44" s="8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74" spans="4:7" ht="12.75">
      <c r="D74" s="21"/>
      <c r="G74" s="43"/>
    </row>
  </sheetData>
  <sheetProtection/>
  <mergeCells count="28">
    <mergeCell ref="A5:C5"/>
    <mergeCell ref="D5:G5"/>
    <mergeCell ref="H3:H4"/>
    <mergeCell ref="I3:I4"/>
    <mergeCell ref="A3:A4"/>
    <mergeCell ref="B3:B4"/>
    <mergeCell ref="C3:C4"/>
    <mergeCell ref="D3:D4"/>
    <mergeCell ref="E3:E4"/>
    <mergeCell ref="F3:F4"/>
    <mergeCell ref="AC4:AD4"/>
    <mergeCell ref="AE4:AF4"/>
    <mergeCell ref="H5:L5"/>
    <mergeCell ref="Y4:Z4"/>
    <mergeCell ref="AA4:AB4"/>
    <mergeCell ref="S4:T4"/>
    <mergeCell ref="U4:V4"/>
    <mergeCell ref="W4:X4"/>
    <mergeCell ref="A39:C39"/>
    <mergeCell ref="A1:AF1"/>
    <mergeCell ref="A2:AF2"/>
    <mergeCell ref="L3:L4"/>
    <mergeCell ref="M3:R3"/>
    <mergeCell ref="S3:AF3"/>
    <mergeCell ref="M4:N4"/>
    <mergeCell ref="O4:P4"/>
    <mergeCell ref="Q4:R4"/>
    <mergeCell ref="G3:G4"/>
  </mergeCells>
  <printOptions horizontalCentered="1" verticalCentered="1"/>
  <pageMargins left="0.25" right="0.25" top="0.25" bottom="0.21" header="0.5" footer="0.3"/>
  <pageSetup horizontalDpi="600" verticalDpi="600" orientation="landscape" paperSize="5" scale="69" r:id="rId2"/>
  <colBreaks count="1" manualBreakCount="1">
    <brk id="3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E73"/>
  <sheetViews>
    <sheetView view="pageBreakPreview" zoomScale="60" zoomScalePageLayoutView="0" workbookViewId="0" topLeftCell="A10">
      <selection activeCell="G38" sqref="G38"/>
    </sheetView>
  </sheetViews>
  <sheetFormatPr defaultColWidth="9.140625" defaultRowHeight="12.75"/>
  <cols>
    <col min="1" max="1" width="9.00390625" style="0" customWidth="1"/>
    <col min="2" max="2" width="9.7109375" style="4" customWidth="1"/>
    <col min="3" max="3" width="8.421875" style="4" customWidth="1"/>
    <col min="4" max="4" width="7.8515625" style="4" customWidth="1"/>
    <col min="5" max="5" width="8.28125" style="4" customWidth="1"/>
    <col min="6" max="6" width="7.8515625" style="0" customWidth="1"/>
    <col min="7" max="7" width="32.7109375" style="9" bestFit="1" customWidth="1"/>
    <col min="8" max="8" width="7.28125" style="0" customWidth="1"/>
    <col min="9" max="9" width="7.7109375" style="0" customWidth="1"/>
    <col min="10" max="10" width="7.28125" style="0" customWidth="1"/>
    <col min="11" max="11" width="7.421875" style="0" customWidth="1"/>
    <col min="12" max="12" width="6.7109375" style="0" customWidth="1"/>
    <col min="13" max="13" width="8.57421875" style="0" customWidth="1"/>
    <col min="14" max="14" width="6.8515625" style="0" customWidth="1"/>
    <col min="15" max="15" width="7.57421875" style="0" customWidth="1"/>
    <col min="16" max="16" width="7.7109375" style="0" customWidth="1"/>
    <col min="17" max="17" width="6.140625" style="0" customWidth="1"/>
    <col min="18" max="18" width="5.8515625" style="0" customWidth="1"/>
    <col min="19" max="19" width="9.421875" style="0" customWidth="1"/>
    <col min="20" max="20" width="9.28125" style="0" bestFit="1" customWidth="1"/>
    <col min="21" max="21" width="7.7109375" style="0" customWidth="1"/>
    <col min="22" max="22" width="6.7109375" style="0" customWidth="1"/>
    <col min="23" max="23" width="7.00390625" style="0" customWidth="1"/>
    <col min="24" max="24" width="6.7109375" style="0" customWidth="1"/>
    <col min="25" max="25" width="4.7109375" style="0" customWidth="1"/>
    <col min="26" max="26" width="6.28125" style="0" customWidth="1"/>
    <col min="27" max="27" width="9.8515625" style="0" customWidth="1"/>
    <col min="29" max="29" width="5.57421875" style="0" customWidth="1"/>
    <col min="30" max="30" width="6.00390625" style="0" customWidth="1"/>
    <col min="31" max="31" width="5.28125" style="0" customWidth="1"/>
    <col min="32" max="32" width="6.28125" style="0" customWidth="1"/>
    <col min="33" max="16384" width="9.140625" style="9" customWidth="1"/>
  </cols>
  <sheetData>
    <row r="1" spans="1:32" ht="12" customHeight="1">
      <c r="A1" s="537" t="s">
        <v>50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3" ht="17.25" customHeight="1" thickBot="1">
      <c r="A2" s="531" t="s">
        <v>55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37"/>
    </row>
    <row r="3" spans="1:35" ht="12" customHeight="1" thickTop="1">
      <c r="A3" s="555" t="s">
        <v>23</v>
      </c>
      <c r="B3" s="557" t="s">
        <v>0</v>
      </c>
      <c r="C3" s="559" t="s">
        <v>56</v>
      </c>
      <c r="D3" s="557" t="s">
        <v>20</v>
      </c>
      <c r="E3" s="561" t="s">
        <v>21</v>
      </c>
      <c r="F3" s="563" t="s">
        <v>19</v>
      </c>
      <c r="G3" s="547" t="s">
        <v>2</v>
      </c>
      <c r="H3" s="553" t="s">
        <v>3</v>
      </c>
      <c r="I3" s="554" t="s">
        <v>4</v>
      </c>
      <c r="J3" s="121"/>
      <c r="K3" s="46"/>
      <c r="L3" s="529" t="s">
        <v>5</v>
      </c>
      <c r="M3" s="538" t="s">
        <v>17</v>
      </c>
      <c r="N3" s="539"/>
      <c r="O3" s="539"/>
      <c r="P3" s="539"/>
      <c r="Q3" s="539"/>
      <c r="R3" s="540"/>
      <c r="S3" s="541" t="s">
        <v>48</v>
      </c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3"/>
      <c r="AG3" s="123"/>
      <c r="AH3" s="76"/>
      <c r="AI3" s="76"/>
    </row>
    <row r="4" spans="1:35" ht="97.5" customHeight="1" thickBot="1">
      <c r="A4" s="556"/>
      <c r="B4" s="558"/>
      <c r="C4" s="560"/>
      <c r="D4" s="558"/>
      <c r="E4" s="562"/>
      <c r="F4" s="545"/>
      <c r="G4" s="548"/>
      <c r="H4" s="544"/>
      <c r="I4" s="545"/>
      <c r="J4" s="47" t="s">
        <v>42</v>
      </c>
      <c r="K4" s="47" t="s">
        <v>26</v>
      </c>
      <c r="L4" s="503"/>
      <c r="M4" s="544" t="s">
        <v>6</v>
      </c>
      <c r="N4" s="545"/>
      <c r="O4" s="545" t="s">
        <v>15</v>
      </c>
      <c r="P4" s="545"/>
      <c r="Q4" s="545" t="s">
        <v>7</v>
      </c>
      <c r="R4" s="546"/>
      <c r="S4" s="550" t="s">
        <v>25</v>
      </c>
      <c r="T4" s="551"/>
      <c r="U4" s="544" t="s">
        <v>34</v>
      </c>
      <c r="V4" s="545"/>
      <c r="W4" s="545" t="s">
        <v>9</v>
      </c>
      <c r="X4" s="545"/>
      <c r="Y4" s="545" t="s">
        <v>10</v>
      </c>
      <c r="Z4" s="549"/>
      <c r="AA4" s="544" t="s">
        <v>11</v>
      </c>
      <c r="AB4" s="545"/>
      <c r="AC4" s="545" t="s">
        <v>24</v>
      </c>
      <c r="AD4" s="545"/>
      <c r="AE4" s="545" t="s">
        <v>12</v>
      </c>
      <c r="AF4" s="549"/>
      <c r="AG4" s="123"/>
      <c r="AH4" s="76"/>
      <c r="AI4" s="76"/>
    </row>
    <row r="5" spans="1:34" ht="16.5" customHeight="1" thickBot="1" thickTop="1">
      <c r="A5" s="521"/>
      <c r="B5" s="522"/>
      <c r="C5" s="528"/>
      <c r="D5" s="564" t="s">
        <v>54</v>
      </c>
      <c r="E5" s="564"/>
      <c r="F5" s="564"/>
      <c r="G5" s="565"/>
      <c r="H5" s="522"/>
      <c r="I5" s="522"/>
      <c r="J5" s="522"/>
      <c r="K5" s="522"/>
      <c r="L5" s="528"/>
      <c r="M5" s="63" t="s">
        <v>13</v>
      </c>
      <c r="N5" s="64" t="s">
        <v>14</v>
      </c>
      <c r="O5" s="64" t="s">
        <v>13</v>
      </c>
      <c r="P5" s="64" t="s">
        <v>14</v>
      </c>
      <c r="Q5" s="64" t="s">
        <v>13</v>
      </c>
      <c r="R5" s="65" t="s">
        <v>14</v>
      </c>
      <c r="S5" s="119" t="s">
        <v>13</v>
      </c>
      <c r="T5" s="65" t="s">
        <v>14</v>
      </c>
      <c r="U5" s="63" t="s">
        <v>13</v>
      </c>
      <c r="V5" s="64" t="s">
        <v>14</v>
      </c>
      <c r="W5" s="64" t="s">
        <v>13</v>
      </c>
      <c r="X5" s="64" t="s">
        <v>14</v>
      </c>
      <c r="Y5" s="64" t="s">
        <v>13</v>
      </c>
      <c r="Z5" s="65" t="s">
        <v>14</v>
      </c>
      <c r="AA5" s="120" t="s">
        <v>13</v>
      </c>
      <c r="AB5" s="64" t="s">
        <v>14</v>
      </c>
      <c r="AC5" s="64" t="s">
        <v>13</v>
      </c>
      <c r="AD5" s="64" t="s">
        <v>14</v>
      </c>
      <c r="AE5" s="64" t="s">
        <v>13</v>
      </c>
      <c r="AF5" s="65" t="s">
        <v>14</v>
      </c>
      <c r="AG5" s="37"/>
      <c r="AH5" s="76"/>
    </row>
    <row r="6" spans="1:135" s="128" customFormat="1" ht="19.5" customHeight="1" thickBot="1" thickTop="1">
      <c r="A6" s="201">
        <v>1</v>
      </c>
      <c r="B6" s="202" t="s">
        <v>16</v>
      </c>
      <c r="C6" s="203">
        <v>156</v>
      </c>
      <c r="D6" s="204">
        <v>12</v>
      </c>
      <c r="E6" s="185">
        <v>6</v>
      </c>
      <c r="F6" s="205">
        <f>208+12-6</f>
        <v>214</v>
      </c>
      <c r="G6" s="206">
        <f>+F6/4.25</f>
        <v>50.35294117647059</v>
      </c>
      <c r="H6" s="207">
        <v>1</v>
      </c>
      <c r="I6" s="185" t="s">
        <v>16</v>
      </c>
      <c r="J6" s="185" t="s">
        <v>16</v>
      </c>
      <c r="K6" s="185">
        <v>1</v>
      </c>
      <c r="L6" s="208">
        <v>1</v>
      </c>
      <c r="M6" s="207">
        <v>13</v>
      </c>
      <c r="N6" s="185">
        <v>2</v>
      </c>
      <c r="O6" s="185" t="s">
        <v>16</v>
      </c>
      <c r="P6" s="185" t="s">
        <v>16</v>
      </c>
      <c r="Q6" s="209" t="s">
        <v>16</v>
      </c>
      <c r="R6" s="210" t="s">
        <v>16</v>
      </c>
      <c r="S6" s="211" t="s">
        <v>16</v>
      </c>
      <c r="T6" s="186">
        <v>69</v>
      </c>
      <c r="U6" s="207" t="s">
        <v>16</v>
      </c>
      <c r="V6" s="185" t="s">
        <v>16</v>
      </c>
      <c r="W6" s="185" t="s">
        <v>16</v>
      </c>
      <c r="X6" s="185" t="s">
        <v>16</v>
      </c>
      <c r="Y6" s="185" t="s">
        <v>16</v>
      </c>
      <c r="Z6" s="186" t="s">
        <v>16</v>
      </c>
      <c r="AA6" s="207" t="s">
        <v>16</v>
      </c>
      <c r="AB6" s="185">
        <v>32</v>
      </c>
      <c r="AC6" s="185" t="s">
        <v>16</v>
      </c>
      <c r="AD6" s="185" t="s">
        <v>16</v>
      </c>
      <c r="AE6" s="185" t="s">
        <v>16</v>
      </c>
      <c r="AF6" s="186" t="s">
        <v>16</v>
      </c>
      <c r="AG6" s="37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33" ht="19.5" customHeight="1" thickBot="1" thickTop="1">
      <c r="A7" s="195">
        <v>2</v>
      </c>
      <c r="B7" s="192">
        <v>1106</v>
      </c>
      <c r="C7" s="144">
        <v>111</v>
      </c>
      <c r="D7" s="181">
        <v>35</v>
      </c>
      <c r="E7" s="138">
        <v>54</v>
      </c>
      <c r="F7" s="137">
        <f>214-19</f>
        <v>195</v>
      </c>
      <c r="G7" s="176">
        <f aca="true" t="shared" si="0" ref="G7:G36">+F7/4.25</f>
        <v>45.88235294117647</v>
      </c>
      <c r="H7" s="139">
        <v>2</v>
      </c>
      <c r="I7" s="138">
        <f>1+18</f>
        <v>19</v>
      </c>
      <c r="J7" s="138" t="s">
        <v>16</v>
      </c>
      <c r="K7" s="138">
        <v>3</v>
      </c>
      <c r="L7" s="140" t="s">
        <v>16</v>
      </c>
      <c r="M7" s="139">
        <v>57</v>
      </c>
      <c r="N7" s="138">
        <v>16</v>
      </c>
      <c r="O7" s="138">
        <v>16</v>
      </c>
      <c r="P7" s="138">
        <v>12</v>
      </c>
      <c r="Q7" s="133" t="s">
        <v>16</v>
      </c>
      <c r="R7" s="134" t="s">
        <v>16</v>
      </c>
      <c r="S7" s="143">
        <v>142</v>
      </c>
      <c r="T7" s="144">
        <v>286</v>
      </c>
      <c r="U7" s="139">
        <v>13</v>
      </c>
      <c r="V7" s="138">
        <v>3</v>
      </c>
      <c r="W7" s="138">
        <v>7</v>
      </c>
      <c r="X7" s="138">
        <v>6</v>
      </c>
      <c r="Y7" s="138" t="s">
        <v>16</v>
      </c>
      <c r="Z7" s="144">
        <v>2</v>
      </c>
      <c r="AA7" s="139">
        <v>155</v>
      </c>
      <c r="AB7" s="138">
        <v>290</v>
      </c>
      <c r="AC7" s="130" t="s">
        <v>16</v>
      </c>
      <c r="AD7" s="130">
        <v>4</v>
      </c>
      <c r="AE7" s="130">
        <v>2</v>
      </c>
      <c r="AF7" s="136">
        <v>2</v>
      </c>
      <c r="AG7" s="37"/>
    </row>
    <row r="8" spans="1:34" ht="19.5" customHeight="1" thickBot="1" thickTop="1">
      <c r="A8" s="195">
        <v>3</v>
      </c>
      <c r="B8" s="192">
        <v>985</v>
      </c>
      <c r="C8" s="144">
        <v>129</v>
      </c>
      <c r="D8" s="181">
        <v>40</v>
      </c>
      <c r="E8" s="138">
        <v>19</v>
      </c>
      <c r="F8" s="137">
        <f>195+21</f>
        <v>216</v>
      </c>
      <c r="G8" s="176">
        <f t="shared" si="0"/>
        <v>50.8235294117647</v>
      </c>
      <c r="H8" s="139">
        <v>4</v>
      </c>
      <c r="I8" s="138">
        <v>48</v>
      </c>
      <c r="J8" s="138" t="s">
        <v>16</v>
      </c>
      <c r="K8" s="138">
        <v>2</v>
      </c>
      <c r="L8" s="140">
        <v>2</v>
      </c>
      <c r="M8" s="139">
        <v>56</v>
      </c>
      <c r="N8" s="138">
        <v>10</v>
      </c>
      <c r="O8" s="138">
        <v>15</v>
      </c>
      <c r="P8" s="138">
        <v>5</v>
      </c>
      <c r="Q8" s="133" t="s">
        <v>16</v>
      </c>
      <c r="R8" s="134" t="s">
        <v>27</v>
      </c>
      <c r="S8" s="143">
        <v>94</v>
      </c>
      <c r="T8" s="144">
        <v>228</v>
      </c>
      <c r="U8" s="139">
        <v>9</v>
      </c>
      <c r="V8" s="138">
        <v>4</v>
      </c>
      <c r="W8" s="138">
        <v>6</v>
      </c>
      <c r="X8" s="138">
        <v>6</v>
      </c>
      <c r="Y8" s="138" t="s">
        <v>16</v>
      </c>
      <c r="Z8" s="144" t="s">
        <v>16</v>
      </c>
      <c r="AA8" s="139">
        <v>136</v>
      </c>
      <c r="AB8" s="138">
        <v>317</v>
      </c>
      <c r="AC8" s="130" t="s">
        <v>16</v>
      </c>
      <c r="AD8" s="130">
        <v>1</v>
      </c>
      <c r="AE8" s="130">
        <v>5</v>
      </c>
      <c r="AF8" s="136" t="s">
        <v>16</v>
      </c>
      <c r="AG8" s="76"/>
      <c r="AH8" s="37"/>
    </row>
    <row r="9" spans="1:34" ht="19.5" customHeight="1" thickBot="1" thickTop="1">
      <c r="A9" s="195">
        <v>4</v>
      </c>
      <c r="B9" s="192">
        <v>1035</v>
      </c>
      <c r="C9" s="144">
        <v>141</v>
      </c>
      <c r="D9" s="181">
        <v>40</v>
      </c>
      <c r="E9" s="138">
        <v>39</v>
      </c>
      <c r="F9" s="137">
        <f>216+1</f>
        <v>217</v>
      </c>
      <c r="G9" s="176">
        <f t="shared" si="0"/>
        <v>51.05882352941177</v>
      </c>
      <c r="H9" s="139">
        <v>8</v>
      </c>
      <c r="I9" s="138">
        <v>56</v>
      </c>
      <c r="J9" s="138">
        <v>2</v>
      </c>
      <c r="K9" s="138">
        <v>3</v>
      </c>
      <c r="L9" s="140" t="s">
        <v>16</v>
      </c>
      <c r="M9" s="139">
        <v>53</v>
      </c>
      <c r="N9" s="138">
        <v>10</v>
      </c>
      <c r="O9" s="138">
        <v>16</v>
      </c>
      <c r="P9" s="138">
        <v>8</v>
      </c>
      <c r="Q9" s="133" t="s">
        <v>16</v>
      </c>
      <c r="R9" s="134" t="s">
        <v>16</v>
      </c>
      <c r="S9" s="143">
        <v>131</v>
      </c>
      <c r="T9" s="144">
        <v>191</v>
      </c>
      <c r="U9" s="139">
        <v>7</v>
      </c>
      <c r="V9" s="138">
        <v>1</v>
      </c>
      <c r="W9" s="138">
        <v>2</v>
      </c>
      <c r="X9" s="138">
        <v>5</v>
      </c>
      <c r="Y9" s="138" t="s">
        <v>16</v>
      </c>
      <c r="Z9" s="144">
        <v>4</v>
      </c>
      <c r="AA9" s="139">
        <v>124</v>
      </c>
      <c r="AB9" s="138">
        <v>260</v>
      </c>
      <c r="AC9" s="130">
        <v>1</v>
      </c>
      <c r="AD9" s="130">
        <v>6</v>
      </c>
      <c r="AE9" s="130">
        <v>2</v>
      </c>
      <c r="AF9" s="136">
        <v>2</v>
      </c>
      <c r="AH9" s="37"/>
    </row>
    <row r="10" spans="1:34" ht="19.5" customHeight="1" thickBot="1" thickTop="1">
      <c r="A10" s="195">
        <v>5</v>
      </c>
      <c r="B10" s="192">
        <v>1066</v>
      </c>
      <c r="C10" s="144">
        <v>137</v>
      </c>
      <c r="D10" s="181">
        <v>45</v>
      </c>
      <c r="E10" s="138">
        <v>31</v>
      </c>
      <c r="F10" s="137">
        <f>217+45-31</f>
        <v>231</v>
      </c>
      <c r="G10" s="176">
        <f t="shared" si="0"/>
        <v>54.35294117647059</v>
      </c>
      <c r="H10" s="139">
        <v>9</v>
      </c>
      <c r="I10" s="138">
        <v>29</v>
      </c>
      <c r="J10" s="138" t="s">
        <v>16</v>
      </c>
      <c r="K10" s="138" t="s">
        <v>16</v>
      </c>
      <c r="L10" s="140" t="s">
        <v>16</v>
      </c>
      <c r="M10" s="139">
        <v>54</v>
      </c>
      <c r="N10" s="138">
        <v>12</v>
      </c>
      <c r="O10" s="138">
        <v>17</v>
      </c>
      <c r="P10" s="138">
        <v>5</v>
      </c>
      <c r="Q10" s="133" t="s">
        <v>16</v>
      </c>
      <c r="R10" s="134" t="s">
        <v>16</v>
      </c>
      <c r="S10" s="143">
        <v>154</v>
      </c>
      <c r="T10" s="144">
        <v>241</v>
      </c>
      <c r="U10" s="139">
        <v>3</v>
      </c>
      <c r="V10" s="138">
        <v>2</v>
      </c>
      <c r="W10" s="138">
        <v>11</v>
      </c>
      <c r="X10" s="138">
        <v>5</v>
      </c>
      <c r="Y10" s="138">
        <v>1</v>
      </c>
      <c r="Z10" s="144">
        <v>2</v>
      </c>
      <c r="AA10" s="139">
        <v>200</v>
      </c>
      <c r="AB10" s="138">
        <v>260</v>
      </c>
      <c r="AC10" s="130" t="s">
        <v>16</v>
      </c>
      <c r="AD10" s="130">
        <v>7</v>
      </c>
      <c r="AE10" s="130">
        <v>3</v>
      </c>
      <c r="AF10" s="136" t="s">
        <v>16</v>
      </c>
      <c r="AH10" s="37"/>
    </row>
    <row r="11" spans="1:34" ht="19.5" customHeight="1" thickBot="1" thickTop="1">
      <c r="A11" s="195">
        <v>6</v>
      </c>
      <c r="B11" s="192">
        <v>764</v>
      </c>
      <c r="C11" s="144">
        <v>103</v>
      </c>
      <c r="D11" s="181">
        <v>33</v>
      </c>
      <c r="E11" s="138">
        <v>40</v>
      </c>
      <c r="F11" s="137">
        <f>231-7</f>
        <v>224</v>
      </c>
      <c r="G11" s="176">
        <f t="shared" si="0"/>
        <v>52.705882352941174</v>
      </c>
      <c r="H11" s="139">
        <v>5</v>
      </c>
      <c r="I11" s="138">
        <v>16</v>
      </c>
      <c r="J11" s="138" t="s">
        <v>16</v>
      </c>
      <c r="K11" s="138">
        <v>4</v>
      </c>
      <c r="L11" s="140">
        <v>2</v>
      </c>
      <c r="M11" s="139">
        <v>40</v>
      </c>
      <c r="N11" s="138">
        <v>14</v>
      </c>
      <c r="O11" s="138">
        <v>22</v>
      </c>
      <c r="P11" s="138">
        <v>3</v>
      </c>
      <c r="Q11" s="133" t="s">
        <v>16</v>
      </c>
      <c r="R11" s="134" t="s">
        <v>16</v>
      </c>
      <c r="S11" s="143">
        <v>110</v>
      </c>
      <c r="T11" s="144">
        <v>192</v>
      </c>
      <c r="U11" s="139">
        <v>7</v>
      </c>
      <c r="V11" s="138" t="s">
        <v>16</v>
      </c>
      <c r="W11" s="138">
        <v>4</v>
      </c>
      <c r="X11" s="138">
        <v>7</v>
      </c>
      <c r="Y11" s="138" t="s">
        <v>16</v>
      </c>
      <c r="Z11" s="144">
        <v>1</v>
      </c>
      <c r="AA11" s="139">
        <v>111</v>
      </c>
      <c r="AB11" s="138">
        <v>145</v>
      </c>
      <c r="AC11" s="130" t="s">
        <v>16</v>
      </c>
      <c r="AD11" s="130" t="s">
        <v>16</v>
      </c>
      <c r="AE11" s="130">
        <v>1</v>
      </c>
      <c r="AF11" s="144">
        <v>1</v>
      </c>
      <c r="AH11" s="37"/>
    </row>
    <row r="12" spans="1:34" ht="19.5" customHeight="1" thickBot="1" thickTop="1">
      <c r="A12" s="195">
        <v>7</v>
      </c>
      <c r="B12" s="192">
        <v>937</v>
      </c>
      <c r="C12" s="144">
        <v>133</v>
      </c>
      <c r="D12" s="181">
        <v>36</v>
      </c>
      <c r="E12" s="138">
        <v>43</v>
      </c>
      <c r="F12" s="137">
        <f>224-7</f>
        <v>217</v>
      </c>
      <c r="G12" s="176">
        <f t="shared" si="0"/>
        <v>51.05882352941177</v>
      </c>
      <c r="H12" s="139">
        <v>8</v>
      </c>
      <c r="I12" s="138">
        <v>19</v>
      </c>
      <c r="J12" s="138" t="s">
        <v>16</v>
      </c>
      <c r="K12" s="138">
        <v>1</v>
      </c>
      <c r="L12" s="140" t="s">
        <v>16</v>
      </c>
      <c r="M12" s="151">
        <v>52</v>
      </c>
      <c r="N12" s="152">
        <v>9</v>
      </c>
      <c r="O12" s="138">
        <v>9</v>
      </c>
      <c r="P12" s="138">
        <v>6</v>
      </c>
      <c r="Q12" s="133" t="s">
        <v>16</v>
      </c>
      <c r="R12" s="134" t="s">
        <v>16</v>
      </c>
      <c r="S12" s="143">
        <v>67</v>
      </c>
      <c r="T12" s="144">
        <v>251</v>
      </c>
      <c r="U12" s="139">
        <v>2</v>
      </c>
      <c r="V12" s="138">
        <v>3</v>
      </c>
      <c r="W12" s="138">
        <v>3</v>
      </c>
      <c r="X12" s="138">
        <v>3</v>
      </c>
      <c r="Y12" s="138" t="s">
        <v>16</v>
      </c>
      <c r="Z12" s="144">
        <v>3</v>
      </c>
      <c r="AA12" s="139">
        <v>81</v>
      </c>
      <c r="AB12" s="138">
        <v>231</v>
      </c>
      <c r="AC12" s="130">
        <v>1</v>
      </c>
      <c r="AD12" s="130">
        <v>3</v>
      </c>
      <c r="AE12" s="130">
        <v>3</v>
      </c>
      <c r="AF12" s="136" t="s">
        <v>16</v>
      </c>
      <c r="AH12" s="37"/>
    </row>
    <row r="13" spans="1:135" s="128" customFormat="1" ht="19.5" customHeight="1" thickBot="1" thickTop="1">
      <c r="A13" s="196">
        <v>8</v>
      </c>
      <c r="B13" s="193" t="s">
        <v>16</v>
      </c>
      <c r="C13" s="150">
        <v>143</v>
      </c>
      <c r="D13" s="182">
        <v>7</v>
      </c>
      <c r="E13" s="146">
        <v>9</v>
      </c>
      <c r="F13" s="145">
        <v>215</v>
      </c>
      <c r="G13" s="206">
        <f t="shared" si="0"/>
        <v>50.588235294117645</v>
      </c>
      <c r="H13" s="147" t="s">
        <v>16</v>
      </c>
      <c r="I13" s="146" t="s">
        <v>16</v>
      </c>
      <c r="J13" s="146" t="s">
        <v>16</v>
      </c>
      <c r="K13" s="146">
        <v>5</v>
      </c>
      <c r="L13" s="148" t="s">
        <v>16</v>
      </c>
      <c r="M13" s="147">
        <v>5</v>
      </c>
      <c r="N13" s="146">
        <v>5</v>
      </c>
      <c r="O13" s="146">
        <v>6</v>
      </c>
      <c r="P13" s="146" t="s">
        <v>16</v>
      </c>
      <c r="Q13" s="209" t="s">
        <v>16</v>
      </c>
      <c r="R13" s="210" t="s">
        <v>16</v>
      </c>
      <c r="S13" s="149" t="s">
        <v>16</v>
      </c>
      <c r="T13" s="150">
        <v>33</v>
      </c>
      <c r="U13" s="147" t="s">
        <v>16</v>
      </c>
      <c r="V13" s="146" t="s">
        <v>16</v>
      </c>
      <c r="W13" s="146" t="s">
        <v>16</v>
      </c>
      <c r="X13" s="146" t="s">
        <v>16</v>
      </c>
      <c r="Y13" s="146" t="s">
        <v>16</v>
      </c>
      <c r="Z13" s="150" t="s">
        <v>16</v>
      </c>
      <c r="AA13" s="147" t="s">
        <v>16</v>
      </c>
      <c r="AB13" s="146">
        <v>7</v>
      </c>
      <c r="AC13" s="185" t="s">
        <v>16</v>
      </c>
      <c r="AD13" s="185" t="s">
        <v>16</v>
      </c>
      <c r="AE13" s="185" t="s">
        <v>16</v>
      </c>
      <c r="AF13" s="186" t="s">
        <v>16</v>
      </c>
      <c r="AG13" s="9"/>
      <c r="AH13" s="37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34" ht="19.5" customHeight="1" thickBot="1" thickTop="1">
      <c r="A14" s="195">
        <v>9</v>
      </c>
      <c r="B14" s="192">
        <v>1182</v>
      </c>
      <c r="C14" s="144">
        <v>142</v>
      </c>
      <c r="D14" s="181">
        <v>44</v>
      </c>
      <c r="E14" s="138">
        <v>44</v>
      </c>
      <c r="F14" s="137">
        <v>215</v>
      </c>
      <c r="G14" s="176">
        <f t="shared" si="0"/>
        <v>50.588235294117645</v>
      </c>
      <c r="H14" s="139">
        <v>11</v>
      </c>
      <c r="I14" s="138">
        <v>32</v>
      </c>
      <c r="J14" s="138" t="s">
        <v>16</v>
      </c>
      <c r="K14" s="138">
        <v>4</v>
      </c>
      <c r="L14" s="140">
        <v>2</v>
      </c>
      <c r="M14" s="139">
        <v>61</v>
      </c>
      <c r="N14" s="138">
        <v>11</v>
      </c>
      <c r="O14" s="138">
        <v>14</v>
      </c>
      <c r="P14" s="138">
        <v>4</v>
      </c>
      <c r="Q14" s="133" t="s">
        <v>16</v>
      </c>
      <c r="R14" s="134" t="s">
        <v>16</v>
      </c>
      <c r="S14" s="143">
        <v>218</v>
      </c>
      <c r="T14" s="144">
        <v>201</v>
      </c>
      <c r="U14" s="139">
        <v>11</v>
      </c>
      <c r="V14" s="138">
        <v>4</v>
      </c>
      <c r="W14" s="138">
        <v>7</v>
      </c>
      <c r="X14" s="138">
        <v>5</v>
      </c>
      <c r="Y14" s="138" t="s">
        <v>16</v>
      </c>
      <c r="Z14" s="144">
        <v>2</v>
      </c>
      <c r="AA14" s="139">
        <v>192</v>
      </c>
      <c r="AB14" s="138">
        <v>252</v>
      </c>
      <c r="AC14" s="130" t="s">
        <v>16</v>
      </c>
      <c r="AD14" s="130">
        <v>6</v>
      </c>
      <c r="AE14" s="130">
        <v>1</v>
      </c>
      <c r="AF14" s="136">
        <v>2</v>
      </c>
      <c r="AH14" s="37"/>
    </row>
    <row r="15" spans="1:34" ht="19.5" customHeight="1" thickBot="1" thickTop="1">
      <c r="A15" s="195">
        <v>10</v>
      </c>
      <c r="B15" s="192">
        <v>1010</v>
      </c>
      <c r="C15" s="144">
        <v>111</v>
      </c>
      <c r="D15" s="181">
        <v>38</v>
      </c>
      <c r="E15" s="138">
        <v>37</v>
      </c>
      <c r="F15" s="137">
        <v>217</v>
      </c>
      <c r="G15" s="176">
        <f t="shared" si="0"/>
        <v>51.05882352941177</v>
      </c>
      <c r="H15" s="139">
        <v>10</v>
      </c>
      <c r="I15" s="138">
        <v>24</v>
      </c>
      <c r="J15" s="138" t="s">
        <v>16</v>
      </c>
      <c r="K15" s="138">
        <v>5</v>
      </c>
      <c r="L15" s="140" t="s">
        <v>16</v>
      </c>
      <c r="M15" s="139">
        <v>57</v>
      </c>
      <c r="N15" s="138">
        <v>14</v>
      </c>
      <c r="O15" s="138">
        <v>16</v>
      </c>
      <c r="P15" s="138">
        <v>8</v>
      </c>
      <c r="Q15" s="133" t="s">
        <v>16</v>
      </c>
      <c r="R15" s="134" t="s">
        <v>16</v>
      </c>
      <c r="S15" s="143">
        <v>144</v>
      </c>
      <c r="T15" s="144">
        <v>290</v>
      </c>
      <c r="U15" s="139">
        <v>9</v>
      </c>
      <c r="V15" s="138">
        <v>5</v>
      </c>
      <c r="W15" s="138">
        <v>6</v>
      </c>
      <c r="X15" s="138">
        <v>6</v>
      </c>
      <c r="Y15" s="138" t="s">
        <v>16</v>
      </c>
      <c r="Z15" s="144">
        <v>1</v>
      </c>
      <c r="AA15" s="139">
        <v>160</v>
      </c>
      <c r="AB15" s="138">
        <v>242</v>
      </c>
      <c r="AC15" s="130" t="s">
        <v>16</v>
      </c>
      <c r="AD15" s="130">
        <v>1</v>
      </c>
      <c r="AE15" s="130">
        <v>1</v>
      </c>
      <c r="AF15" s="136" t="s">
        <v>16</v>
      </c>
      <c r="AH15" s="37"/>
    </row>
    <row r="16" spans="1:34" ht="19.5" customHeight="1" thickBot="1" thickTop="1">
      <c r="A16" s="195">
        <v>11</v>
      </c>
      <c r="B16" s="192">
        <v>1034</v>
      </c>
      <c r="C16" s="144">
        <v>137</v>
      </c>
      <c r="D16" s="181">
        <v>41</v>
      </c>
      <c r="E16" s="138">
        <v>26</v>
      </c>
      <c r="F16" s="137">
        <f>217+41-26</f>
        <v>232</v>
      </c>
      <c r="G16" s="176">
        <f t="shared" si="0"/>
        <v>54.588235294117645</v>
      </c>
      <c r="H16" s="139">
        <v>4</v>
      </c>
      <c r="I16" s="138">
        <v>34</v>
      </c>
      <c r="J16" s="138">
        <v>4</v>
      </c>
      <c r="K16" s="138">
        <v>3</v>
      </c>
      <c r="L16" s="140">
        <v>2</v>
      </c>
      <c r="M16" s="139">
        <v>58</v>
      </c>
      <c r="N16" s="138">
        <v>13</v>
      </c>
      <c r="O16" s="138">
        <v>19</v>
      </c>
      <c r="P16" s="138">
        <v>5</v>
      </c>
      <c r="Q16" s="133" t="s">
        <v>16</v>
      </c>
      <c r="R16" s="134" t="s">
        <v>16</v>
      </c>
      <c r="S16" s="143">
        <v>161</v>
      </c>
      <c r="T16" s="144">
        <v>231</v>
      </c>
      <c r="U16" s="139">
        <v>10</v>
      </c>
      <c r="V16" s="138">
        <v>6</v>
      </c>
      <c r="W16" s="138">
        <v>6</v>
      </c>
      <c r="X16" s="138">
        <v>7</v>
      </c>
      <c r="Y16" s="138" t="s">
        <v>16</v>
      </c>
      <c r="Z16" s="144">
        <v>4</v>
      </c>
      <c r="AA16" s="139">
        <v>170</v>
      </c>
      <c r="AB16" s="138">
        <v>201</v>
      </c>
      <c r="AC16" s="130" t="s">
        <v>16</v>
      </c>
      <c r="AD16" s="130">
        <v>3</v>
      </c>
      <c r="AE16" s="130">
        <v>4</v>
      </c>
      <c r="AF16" s="136" t="s">
        <v>16</v>
      </c>
      <c r="AH16" s="37"/>
    </row>
    <row r="17" spans="1:34" ht="19.5" customHeight="1" thickBot="1" thickTop="1">
      <c r="A17" s="195">
        <v>12</v>
      </c>
      <c r="B17" s="192">
        <v>1072</v>
      </c>
      <c r="C17" s="144">
        <v>105</v>
      </c>
      <c r="D17" s="181">
        <v>53</v>
      </c>
      <c r="E17" s="138">
        <v>44</v>
      </c>
      <c r="F17" s="137">
        <f>232+9</f>
        <v>241</v>
      </c>
      <c r="G17" s="176">
        <f t="shared" si="0"/>
        <v>56.705882352941174</v>
      </c>
      <c r="H17" s="139">
        <v>8</v>
      </c>
      <c r="I17" s="138">
        <v>29</v>
      </c>
      <c r="J17" s="138" t="s">
        <v>16</v>
      </c>
      <c r="K17" s="138">
        <v>2</v>
      </c>
      <c r="L17" s="140">
        <v>1</v>
      </c>
      <c r="M17" s="139">
        <v>52</v>
      </c>
      <c r="N17" s="138">
        <v>12</v>
      </c>
      <c r="O17" s="138">
        <v>15</v>
      </c>
      <c r="P17" s="138">
        <v>7</v>
      </c>
      <c r="Q17" s="133" t="s">
        <v>16</v>
      </c>
      <c r="R17" s="134" t="s">
        <v>16</v>
      </c>
      <c r="S17" s="143">
        <v>148</v>
      </c>
      <c r="T17" s="144">
        <v>270</v>
      </c>
      <c r="U17" s="139">
        <v>8</v>
      </c>
      <c r="V17" s="138">
        <v>1</v>
      </c>
      <c r="W17" s="138">
        <v>4</v>
      </c>
      <c r="X17" s="138">
        <v>4</v>
      </c>
      <c r="Y17" s="138">
        <v>1</v>
      </c>
      <c r="Z17" s="144">
        <v>2</v>
      </c>
      <c r="AA17" s="139">
        <v>176</v>
      </c>
      <c r="AB17" s="138">
        <v>223</v>
      </c>
      <c r="AC17" s="130">
        <v>1</v>
      </c>
      <c r="AD17" s="130">
        <v>5</v>
      </c>
      <c r="AE17" s="130" t="s">
        <v>16</v>
      </c>
      <c r="AF17" s="136" t="s">
        <v>16</v>
      </c>
      <c r="AH17" s="37"/>
    </row>
    <row r="18" spans="1:36" ht="19.5" customHeight="1" thickBot="1" thickTop="1">
      <c r="A18" s="195">
        <v>13</v>
      </c>
      <c r="B18" s="192">
        <v>585</v>
      </c>
      <c r="C18" s="144">
        <v>124</v>
      </c>
      <c r="D18" s="181">
        <v>31</v>
      </c>
      <c r="E18" s="138">
        <v>37</v>
      </c>
      <c r="F18" s="137">
        <v>235</v>
      </c>
      <c r="G18" s="176">
        <f t="shared" si="0"/>
        <v>55.294117647058826</v>
      </c>
      <c r="H18" s="139">
        <v>8</v>
      </c>
      <c r="I18" s="138">
        <v>12</v>
      </c>
      <c r="J18" s="138" t="s">
        <v>16</v>
      </c>
      <c r="K18" s="138">
        <v>3</v>
      </c>
      <c r="L18" s="140" t="s">
        <v>16</v>
      </c>
      <c r="M18" s="139">
        <v>32</v>
      </c>
      <c r="N18" s="138">
        <v>12</v>
      </c>
      <c r="O18" s="138">
        <v>10</v>
      </c>
      <c r="P18" s="138">
        <v>9</v>
      </c>
      <c r="Q18" s="133" t="s">
        <v>16</v>
      </c>
      <c r="R18" s="134" t="s">
        <v>27</v>
      </c>
      <c r="S18" s="143">
        <v>114</v>
      </c>
      <c r="T18" s="144">
        <v>212</v>
      </c>
      <c r="U18" s="139">
        <v>6</v>
      </c>
      <c r="V18" s="138">
        <v>3</v>
      </c>
      <c r="W18" s="138">
        <v>8</v>
      </c>
      <c r="X18" s="138">
        <v>4</v>
      </c>
      <c r="Y18" s="138" t="s">
        <v>16</v>
      </c>
      <c r="Z18" s="144">
        <v>1</v>
      </c>
      <c r="AA18" s="139">
        <v>108</v>
      </c>
      <c r="AB18" s="138">
        <v>188</v>
      </c>
      <c r="AC18" s="130" t="s">
        <v>16</v>
      </c>
      <c r="AD18" s="130" t="s">
        <v>16</v>
      </c>
      <c r="AE18" s="130" t="s">
        <v>16</v>
      </c>
      <c r="AF18" s="136" t="s">
        <v>16</v>
      </c>
      <c r="AH18" s="37"/>
      <c r="AJ18" s="76"/>
    </row>
    <row r="19" spans="1:36" ht="19.5" customHeight="1" thickBot="1" thickTop="1">
      <c r="A19" s="195">
        <v>14</v>
      </c>
      <c r="B19" s="192">
        <v>912</v>
      </c>
      <c r="C19" s="144">
        <v>142</v>
      </c>
      <c r="D19" s="181">
        <v>45</v>
      </c>
      <c r="E19" s="138">
        <v>33</v>
      </c>
      <c r="F19" s="137">
        <f>235+12</f>
        <v>247</v>
      </c>
      <c r="G19" s="176">
        <f t="shared" si="0"/>
        <v>58.11764705882353</v>
      </c>
      <c r="H19" s="139">
        <v>9</v>
      </c>
      <c r="I19" s="138">
        <v>20</v>
      </c>
      <c r="J19" s="138" t="s">
        <v>16</v>
      </c>
      <c r="K19" s="138">
        <v>3</v>
      </c>
      <c r="L19" s="140">
        <v>1</v>
      </c>
      <c r="M19" s="139">
        <v>40</v>
      </c>
      <c r="N19" s="138">
        <v>14</v>
      </c>
      <c r="O19" s="138">
        <v>17</v>
      </c>
      <c r="P19" s="138">
        <v>7</v>
      </c>
      <c r="Q19" s="133" t="s">
        <v>16</v>
      </c>
      <c r="R19" s="134" t="s">
        <v>16</v>
      </c>
      <c r="S19" s="143">
        <v>135</v>
      </c>
      <c r="T19" s="144">
        <v>196</v>
      </c>
      <c r="U19" s="139">
        <v>6</v>
      </c>
      <c r="V19" s="138">
        <v>2</v>
      </c>
      <c r="W19" s="138">
        <v>2</v>
      </c>
      <c r="X19" s="138">
        <v>1</v>
      </c>
      <c r="Y19" s="138" t="s">
        <v>16</v>
      </c>
      <c r="Z19" s="144">
        <v>3</v>
      </c>
      <c r="AA19" s="139">
        <v>77</v>
      </c>
      <c r="AB19" s="138">
        <v>260</v>
      </c>
      <c r="AC19" s="130" t="s">
        <v>16</v>
      </c>
      <c r="AD19" s="130" t="s">
        <v>16</v>
      </c>
      <c r="AE19" s="130" t="s">
        <v>16</v>
      </c>
      <c r="AF19" s="144" t="s">
        <v>16</v>
      </c>
      <c r="AH19" s="37"/>
      <c r="AJ19" s="76"/>
    </row>
    <row r="20" spans="1:135" s="128" customFormat="1" ht="19.5" customHeight="1" thickBot="1" thickTop="1">
      <c r="A20" s="196">
        <v>15</v>
      </c>
      <c r="B20" s="193" t="s">
        <v>16</v>
      </c>
      <c r="C20" s="150">
        <v>184</v>
      </c>
      <c r="D20" s="182">
        <v>15</v>
      </c>
      <c r="E20" s="146">
        <v>7</v>
      </c>
      <c r="F20" s="145">
        <f>247+8</f>
        <v>255</v>
      </c>
      <c r="G20" s="206">
        <f t="shared" si="0"/>
        <v>60</v>
      </c>
      <c r="H20" s="147">
        <v>2</v>
      </c>
      <c r="I20" s="146" t="s">
        <v>16</v>
      </c>
      <c r="J20" s="146" t="s">
        <v>16</v>
      </c>
      <c r="K20" s="146">
        <v>2</v>
      </c>
      <c r="L20" s="148">
        <v>2</v>
      </c>
      <c r="M20" s="147">
        <v>13</v>
      </c>
      <c r="N20" s="146">
        <v>4</v>
      </c>
      <c r="O20" s="146">
        <v>0</v>
      </c>
      <c r="P20" s="146" t="s">
        <v>16</v>
      </c>
      <c r="Q20" s="209" t="s">
        <v>16</v>
      </c>
      <c r="R20" s="210" t="s">
        <v>16</v>
      </c>
      <c r="S20" s="149" t="s">
        <v>16</v>
      </c>
      <c r="T20" s="150">
        <v>69</v>
      </c>
      <c r="U20" s="147" t="s">
        <v>16</v>
      </c>
      <c r="V20" s="146" t="s">
        <v>16</v>
      </c>
      <c r="W20" s="146" t="s">
        <v>16</v>
      </c>
      <c r="X20" s="146" t="s">
        <v>16</v>
      </c>
      <c r="Y20" s="146" t="s">
        <v>16</v>
      </c>
      <c r="Z20" s="150" t="s">
        <v>16</v>
      </c>
      <c r="AA20" s="147" t="s">
        <v>16</v>
      </c>
      <c r="AB20" s="146">
        <v>16</v>
      </c>
      <c r="AC20" s="185" t="s">
        <v>16</v>
      </c>
      <c r="AD20" s="185" t="s">
        <v>16</v>
      </c>
      <c r="AE20" s="185" t="s">
        <v>16</v>
      </c>
      <c r="AF20" s="186" t="s">
        <v>16</v>
      </c>
      <c r="AG20" s="9"/>
      <c r="AH20" s="37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</row>
    <row r="21" spans="1:34" ht="19.5" customHeight="1" thickBot="1" thickTop="1">
      <c r="A21" s="195">
        <v>16</v>
      </c>
      <c r="B21" s="192">
        <v>1321</v>
      </c>
      <c r="C21" s="144">
        <v>147</v>
      </c>
      <c r="D21" s="181">
        <v>71</v>
      </c>
      <c r="E21" s="138">
        <v>67</v>
      </c>
      <c r="F21" s="137">
        <v>259</v>
      </c>
      <c r="G21" s="176">
        <f t="shared" si="0"/>
        <v>60.94117647058823</v>
      </c>
      <c r="H21" s="139">
        <v>10</v>
      </c>
      <c r="I21" s="138">
        <v>32</v>
      </c>
      <c r="J21" s="138">
        <v>2</v>
      </c>
      <c r="K21" s="138">
        <v>5</v>
      </c>
      <c r="L21" s="140" t="s">
        <v>16</v>
      </c>
      <c r="M21" s="139">
        <v>74</v>
      </c>
      <c r="N21" s="138">
        <v>22</v>
      </c>
      <c r="O21" s="138">
        <v>18</v>
      </c>
      <c r="P21" s="138">
        <v>7</v>
      </c>
      <c r="Q21" s="133" t="s">
        <v>16</v>
      </c>
      <c r="R21" s="134" t="s">
        <v>16</v>
      </c>
      <c r="S21" s="153">
        <v>199</v>
      </c>
      <c r="T21" s="144">
        <v>323</v>
      </c>
      <c r="U21" s="139">
        <v>10</v>
      </c>
      <c r="V21" s="138">
        <v>2</v>
      </c>
      <c r="W21" s="138">
        <v>5</v>
      </c>
      <c r="X21" s="138">
        <v>9</v>
      </c>
      <c r="Y21" s="138" t="s">
        <v>16</v>
      </c>
      <c r="Z21" s="144">
        <v>1</v>
      </c>
      <c r="AA21" s="139">
        <v>221</v>
      </c>
      <c r="AB21" s="138">
        <v>288</v>
      </c>
      <c r="AC21" s="130">
        <v>1</v>
      </c>
      <c r="AD21" s="130">
        <v>6</v>
      </c>
      <c r="AE21" s="130">
        <v>2</v>
      </c>
      <c r="AF21" s="136">
        <v>3</v>
      </c>
      <c r="AH21" s="37"/>
    </row>
    <row r="22" spans="1:34" ht="19.5" customHeight="1" thickBot="1" thickTop="1">
      <c r="A22" s="195">
        <v>17</v>
      </c>
      <c r="B22" s="192">
        <v>996</v>
      </c>
      <c r="C22" s="144">
        <v>164</v>
      </c>
      <c r="D22" s="181">
        <v>54</v>
      </c>
      <c r="E22" s="138">
        <v>31</v>
      </c>
      <c r="F22" s="137">
        <f>259+54-31</f>
        <v>282</v>
      </c>
      <c r="G22" s="176">
        <f t="shared" si="0"/>
        <v>66.3529411764706</v>
      </c>
      <c r="H22" s="139">
        <v>15</v>
      </c>
      <c r="I22" s="138">
        <v>29</v>
      </c>
      <c r="J22" s="138" t="s">
        <v>16</v>
      </c>
      <c r="K22" s="138">
        <v>2</v>
      </c>
      <c r="L22" s="140">
        <v>2</v>
      </c>
      <c r="M22" s="139">
        <v>55</v>
      </c>
      <c r="N22" s="138">
        <v>16</v>
      </c>
      <c r="O22" s="138">
        <v>15</v>
      </c>
      <c r="P22" s="138">
        <v>6</v>
      </c>
      <c r="Q22" s="133" t="s">
        <v>16</v>
      </c>
      <c r="R22" s="134" t="s">
        <v>16</v>
      </c>
      <c r="S22" s="143">
        <v>104</v>
      </c>
      <c r="T22" s="144">
        <v>251</v>
      </c>
      <c r="U22" s="139">
        <v>7</v>
      </c>
      <c r="V22" s="138">
        <v>1</v>
      </c>
      <c r="W22" s="138">
        <v>5</v>
      </c>
      <c r="X22" s="138">
        <v>7</v>
      </c>
      <c r="Y22" s="138" t="s">
        <v>16</v>
      </c>
      <c r="Z22" s="144">
        <v>1</v>
      </c>
      <c r="AA22" s="139">
        <v>130</v>
      </c>
      <c r="AB22" s="138">
        <v>314</v>
      </c>
      <c r="AC22" s="130">
        <v>2</v>
      </c>
      <c r="AD22" s="130">
        <v>2</v>
      </c>
      <c r="AE22" s="130">
        <v>2</v>
      </c>
      <c r="AF22" s="136" t="s">
        <v>16</v>
      </c>
      <c r="AH22" s="37"/>
    </row>
    <row r="23" spans="1:34" ht="19.5" customHeight="1" thickBot="1" thickTop="1">
      <c r="A23" s="195">
        <v>18</v>
      </c>
      <c r="B23" s="192">
        <v>1083</v>
      </c>
      <c r="C23" s="144">
        <v>136</v>
      </c>
      <c r="D23" s="181">
        <v>78</v>
      </c>
      <c r="E23" s="138">
        <v>55</v>
      </c>
      <c r="F23" s="137">
        <f>282+78-55</f>
        <v>305</v>
      </c>
      <c r="G23" s="176">
        <f t="shared" si="0"/>
        <v>71.76470588235294</v>
      </c>
      <c r="H23" s="139">
        <v>8</v>
      </c>
      <c r="I23" s="138">
        <v>30</v>
      </c>
      <c r="J23" s="138" t="s">
        <v>16</v>
      </c>
      <c r="K23" s="138">
        <v>6</v>
      </c>
      <c r="L23" s="140">
        <v>2</v>
      </c>
      <c r="M23" s="139">
        <v>62</v>
      </c>
      <c r="N23" s="138">
        <v>20</v>
      </c>
      <c r="O23" s="138">
        <v>14</v>
      </c>
      <c r="P23" s="138">
        <v>9</v>
      </c>
      <c r="Q23" s="133" t="s">
        <v>16</v>
      </c>
      <c r="R23" s="134" t="s">
        <v>16</v>
      </c>
      <c r="S23" s="143">
        <v>166</v>
      </c>
      <c r="T23" s="144">
        <v>554</v>
      </c>
      <c r="U23" s="139">
        <v>8</v>
      </c>
      <c r="V23" s="138">
        <v>4</v>
      </c>
      <c r="W23" s="138">
        <v>5</v>
      </c>
      <c r="X23" s="138">
        <v>6</v>
      </c>
      <c r="Y23" s="138">
        <v>2</v>
      </c>
      <c r="Z23" s="144">
        <v>4</v>
      </c>
      <c r="AA23" s="139">
        <v>164</v>
      </c>
      <c r="AB23" s="138">
        <v>446</v>
      </c>
      <c r="AC23" s="130" t="s">
        <v>16</v>
      </c>
      <c r="AD23" s="130">
        <v>7</v>
      </c>
      <c r="AE23" s="130">
        <v>1</v>
      </c>
      <c r="AF23" s="136">
        <v>1</v>
      </c>
      <c r="AH23" s="37"/>
    </row>
    <row r="24" spans="1:34" ht="19.5" customHeight="1" thickBot="1" thickTop="1">
      <c r="A24" s="195">
        <v>19</v>
      </c>
      <c r="B24" s="192">
        <v>1081</v>
      </c>
      <c r="C24" s="144">
        <v>152</v>
      </c>
      <c r="D24" s="181">
        <v>64</v>
      </c>
      <c r="E24" s="138">
        <v>48</v>
      </c>
      <c r="F24" s="137">
        <f>305+64-48</f>
        <v>321</v>
      </c>
      <c r="G24" s="176">
        <f t="shared" si="0"/>
        <v>75.52941176470588</v>
      </c>
      <c r="H24" s="139">
        <v>10</v>
      </c>
      <c r="I24" s="138">
        <v>27</v>
      </c>
      <c r="J24" s="138" t="s">
        <v>16</v>
      </c>
      <c r="K24" s="138">
        <v>3</v>
      </c>
      <c r="L24" s="140">
        <v>1</v>
      </c>
      <c r="M24" s="139">
        <v>60</v>
      </c>
      <c r="N24" s="138">
        <v>16</v>
      </c>
      <c r="O24" s="138">
        <v>25</v>
      </c>
      <c r="P24" s="138">
        <v>10</v>
      </c>
      <c r="Q24" s="133" t="s">
        <v>16</v>
      </c>
      <c r="R24" s="134" t="s">
        <v>16</v>
      </c>
      <c r="S24" s="143">
        <v>166</v>
      </c>
      <c r="T24" s="144">
        <v>429</v>
      </c>
      <c r="U24" s="139">
        <v>10</v>
      </c>
      <c r="V24" s="138">
        <v>4</v>
      </c>
      <c r="W24" s="138">
        <v>9</v>
      </c>
      <c r="X24" s="138">
        <v>2</v>
      </c>
      <c r="Y24" s="138">
        <v>1</v>
      </c>
      <c r="Z24" s="144">
        <v>5</v>
      </c>
      <c r="AA24" s="139">
        <v>187</v>
      </c>
      <c r="AB24" s="138">
        <v>416</v>
      </c>
      <c r="AC24" s="130" t="s">
        <v>16</v>
      </c>
      <c r="AD24" s="130" t="s">
        <v>16</v>
      </c>
      <c r="AE24" s="130">
        <v>4</v>
      </c>
      <c r="AF24" s="136">
        <v>1</v>
      </c>
      <c r="AH24" s="37"/>
    </row>
    <row r="25" spans="1:34" ht="19.5" customHeight="1" thickBot="1" thickTop="1">
      <c r="A25" s="195">
        <v>20</v>
      </c>
      <c r="B25" s="192">
        <v>801</v>
      </c>
      <c r="C25" s="144">
        <v>128</v>
      </c>
      <c r="D25" s="181">
        <v>37</v>
      </c>
      <c r="E25" s="138">
        <v>40</v>
      </c>
      <c r="F25" s="137">
        <f>321-3</f>
        <v>318</v>
      </c>
      <c r="G25" s="176">
        <f t="shared" si="0"/>
        <v>74.82352941176471</v>
      </c>
      <c r="H25" s="139">
        <v>9</v>
      </c>
      <c r="I25" s="138">
        <v>27</v>
      </c>
      <c r="J25" s="138" t="s">
        <v>16</v>
      </c>
      <c r="K25" s="138">
        <v>8</v>
      </c>
      <c r="L25" s="140">
        <v>2</v>
      </c>
      <c r="M25" s="139">
        <v>36</v>
      </c>
      <c r="N25" s="138">
        <v>8</v>
      </c>
      <c r="O25" s="138">
        <v>17</v>
      </c>
      <c r="P25" s="138">
        <v>14</v>
      </c>
      <c r="Q25" s="141" t="s">
        <v>16</v>
      </c>
      <c r="R25" s="142"/>
      <c r="S25" s="143">
        <v>94</v>
      </c>
      <c r="T25" s="144">
        <v>332</v>
      </c>
      <c r="U25" s="139">
        <v>10</v>
      </c>
      <c r="V25" s="138">
        <v>1</v>
      </c>
      <c r="W25" s="138">
        <v>3</v>
      </c>
      <c r="X25" s="138">
        <v>18</v>
      </c>
      <c r="Y25" s="138" t="s">
        <v>16</v>
      </c>
      <c r="Z25" s="144">
        <v>3</v>
      </c>
      <c r="AA25" s="139">
        <v>120</v>
      </c>
      <c r="AB25" s="138">
        <v>338</v>
      </c>
      <c r="AC25" s="130" t="s">
        <v>16</v>
      </c>
      <c r="AD25" s="130" t="s">
        <v>16</v>
      </c>
      <c r="AE25" s="130">
        <v>2</v>
      </c>
      <c r="AF25" s="136">
        <v>1</v>
      </c>
      <c r="AH25" s="37"/>
    </row>
    <row r="26" spans="1:34" ht="19.5" customHeight="1" thickBot="1" thickTop="1">
      <c r="A26" s="195">
        <v>21</v>
      </c>
      <c r="B26" s="192">
        <v>894</v>
      </c>
      <c r="C26" s="144">
        <v>155</v>
      </c>
      <c r="D26" s="181">
        <v>45</v>
      </c>
      <c r="E26" s="138">
        <v>49</v>
      </c>
      <c r="F26" s="137">
        <f>318-4</f>
        <v>314</v>
      </c>
      <c r="G26" s="176">
        <f t="shared" si="0"/>
        <v>73.88235294117646</v>
      </c>
      <c r="H26" s="139">
        <v>11</v>
      </c>
      <c r="I26" s="138">
        <v>26</v>
      </c>
      <c r="J26" s="138" t="s">
        <v>16</v>
      </c>
      <c r="K26" s="138">
        <v>4</v>
      </c>
      <c r="L26" s="140">
        <v>2</v>
      </c>
      <c r="M26" s="139">
        <v>47</v>
      </c>
      <c r="N26" s="138">
        <v>11</v>
      </c>
      <c r="O26" s="138">
        <v>13</v>
      </c>
      <c r="P26" s="138">
        <v>7</v>
      </c>
      <c r="Q26" s="133" t="s">
        <v>27</v>
      </c>
      <c r="R26" s="134" t="s">
        <v>16</v>
      </c>
      <c r="S26" s="143">
        <v>128</v>
      </c>
      <c r="T26" s="144">
        <v>250</v>
      </c>
      <c r="U26" s="139">
        <v>7</v>
      </c>
      <c r="V26" s="138">
        <v>1</v>
      </c>
      <c r="W26" s="138">
        <v>2</v>
      </c>
      <c r="X26" s="138">
        <v>2</v>
      </c>
      <c r="Y26" s="138" t="s">
        <v>16</v>
      </c>
      <c r="Z26" s="144">
        <v>1</v>
      </c>
      <c r="AA26" s="139">
        <v>150</v>
      </c>
      <c r="AB26" s="138">
        <v>197</v>
      </c>
      <c r="AC26" s="130" t="s">
        <v>16</v>
      </c>
      <c r="AD26" s="130" t="s">
        <v>16</v>
      </c>
      <c r="AE26" s="130" t="s">
        <v>16</v>
      </c>
      <c r="AF26" s="136">
        <v>1</v>
      </c>
      <c r="AH26" s="37"/>
    </row>
    <row r="27" spans="1:135" s="128" customFormat="1" ht="19.5" customHeight="1" thickBot="1" thickTop="1">
      <c r="A27" s="196">
        <v>22</v>
      </c>
      <c r="B27" s="193" t="s">
        <v>16</v>
      </c>
      <c r="C27" s="150">
        <v>185</v>
      </c>
      <c r="D27" s="182">
        <v>16</v>
      </c>
      <c r="E27" s="146">
        <v>11</v>
      </c>
      <c r="F27" s="145">
        <v>319</v>
      </c>
      <c r="G27" s="206">
        <f t="shared" si="0"/>
        <v>75.05882352941177</v>
      </c>
      <c r="H27" s="147" t="s">
        <v>16</v>
      </c>
      <c r="I27" s="146" t="s">
        <v>16</v>
      </c>
      <c r="J27" s="146" t="s">
        <v>16</v>
      </c>
      <c r="K27" s="146">
        <v>5</v>
      </c>
      <c r="L27" s="148" t="s">
        <v>16</v>
      </c>
      <c r="M27" s="147">
        <v>15</v>
      </c>
      <c r="N27" s="146">
        <v>2</v>
      </c>
      <c r="O27" s="146">
        <v>0</v>
      </c>
      <c r="P27" s="146" t="s">
        <v>16</v>
      </c>
      <c r="Q27" s="209" t="s">
        <v>16</v>
      </c>
      <c r="R27" s="210" t="s">
        <v>16</v>
      </c>
      <c r="S27" s="149" t="s">
        <v>16</v>
      </c>
      <c r="T27" s="150">
        <v>260</v>
      </c>
      <c r="U27" s="147" t="s">
        <v>16</v>
      </c>
      <c r="V27" s="146" t="s">
        <v>16</v>
      </c>
      <c r="W27" s="146" t="s">
        <v>16</v>
      </c>
      <c r="X27" s="146" t="s">
        <v>16</v>
      </c>
      <c r="Y27" s="146" t="s">
        <v>16</v>
      </c>
      <c r="Z27" s="150" t="s">
        <v>16</v>
      </c>
      <c r="AA27" s="147" t="s">
        <v>16</v>
      </c>
      <c r="AB27" s="146">
        <v>20</v>
      </c>
      <c r="AC27" s="185" t="s">
        <v>16</v>
      </c>
      <c r="AD27" s="185" t="s">
        <v>16</v>
      </c>
      <c r="AE27" s="185" t="s">
        <v>16</v>
      </c>
      <c r="AF27" s="150" t="s">
        <v>16</v>
      </c>
      <c r="AG27" s="9"/>
      <c r="AH27" s="37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34" ht="19.5" customHeight="1" thickBot="1" thickTop="1">
      <c r="A28" s="195">
        <v>23</v>
      </c>
      <c r="B28" s="192">
        <v>1248</v>
      </c>
      <c r="C28" s="144">
        <v>146</v>
      </c>
      <c r="D28" s="181">
        <v>72</v>
      </c>
      <c r="E28" s="138">
        <v>58</v>
      </c>
      <c r="F28" s="137">
        <f>319+72-58</f>
        <v>333</v>
      </c>
      <c r="G28" s="176">
        <f t="shared" si="0"/>
        <v>78.3529411764706</v>
      </c>
      <c r="H28" s="139">
        <v>13</v>
      </c>
      <c r="I28" s="138">
        <v>28</v>
      </c>
      <c r="J28" s="138">
        <v>3</v>
      </c>
      <c r="K28" s="138">
        <v>1</v>
      </c>
      <c r="L28" s="140">
        <v>2</v>
      </c>
      <c r="M28" s="139">
        <v>81</v>
      </c>
      <c r="N28" s="138">
        <v>17</v>
      </c>
      <c r="O28" s="138">
        <v>20</v>
      </c>
      <c r="P28" s="138">
        <v>5</v>
      </c>
      <c r="Q28" s="133" t="s">
        <v>16</v>
      </c>
      <c r="R28" s="134" t="s">
        <v>16</v>
      </c>
      <c r="S28" s="143">
        <v>116</v>
      </c>
      <c r="T28" s="144">
        <v>314</v>
      </c>
      <c r="U28" s="139">
        <v>7</v>
      </c>
      <c r="V28" s="138" t="s">
        <v>16</v>
      </c>
      <c r="W28" s="138">
        <v>3</v>
      </c>
      <c r="X28" s="138">
        <v>4</v>
      </c>
      <c r="Y28" s="138">
        <v>2</v>
      </c>
      <c r="Z28" s="144">
        <v>1</v>
      </c>
      <c r="AA28" s="139">
        <v>184</v>
      </c>
      <c r="AB28" s="138">
        <v>190</v>
      </c>
      <c r="AC28" s="130">
        <v>2</v>
      </c>
      <c r="AD28" s="130">
        <v>12</v>
      </c>
      <c r="AE28" s="130">
        <v>4</v>
      </c>
      <c r="AF28" s="136">
        <v>2</v>
      </c>
      <c r="AH28" s="37"/>
    </row>
    <row r="29" spans="1:34" ht="19.5" customHeight="1" thickBot="1" thickTop="1">
      <c r="A29" s="195">
        <v>24</v>
      </c>
      <c r="B29" s="192">
        <v>1174</v>
      </c>
      <c r="C29" s="144">
        <v>123</v>
      </c>
      <c r="D29" s="181">
        <v>39</v>
      </c>
      <c r="E29" s="138">
        <v>42</v>
      </c>
      <c r="F29" s="137">
        <v>330</v>
      </c>
      <c r="G29" s="176">
        <f t="shared" si="0"/>
        <v>77.6470588235294</v>
      </c>
      <c r="H29" s="139">
        <v>9</v>
      </c>
      <c r="I29" s="138">
        <v>30</v>
      </c>
      <c r="J29" s="138" t="s">
        <v>16</v>
      </c>
      <c r="K29" s="138">
        <v>3</v>
      </c>
      <c r="L29" s="140" t="s">
        <v>16</v>
      </c>
      <c r="M29" s="139">
        <v>64</v>
      </c>
      <c r="N29" s="138">
        <v>14</v>
      </c>
      <c r="O29" s="138">
        <v>14</v>
      </c>
      <c r="P29" s="138">
        <v>11</v>
      </c>
      <c r="Q29" s="133" t="s">
        <v>16</v>
      </c>
      <c r="R29" s="134" t="s">
        <v>16</v>
      </c>
      <c r="S29" s="143">
        <v>168</v>
      </c>
      <c r="T29" s="144">
        <v>311</v>
      </c>
      <c r="U29" s="139">
        <v>10</v>
      </c>
      <c r="V29" s="138">
        <v>2</v>
      </c>
      <c r="W29" s="138">
        <v>4</v>
      </c>
      <c r="X29" s="138">
        <v>16</v>
      </c>
      <c r="Y29" s="138" t="s">
        <v>16</v>
      </c>
      <c r="Z29" s="144">
        <v>2</v>
      </c>
      <c r="AA29" s="139">
        <v>182</v>
      </c>
      <c r="AB29" s="138">
        <v>270</v>
      </c>
      <c r="AC29" s="130" t="s">
        <v>16</v>
      </c>
      <c r="AD29" s="130">
        <v>1</v>
      </c>
      <c r="AE29" s="130">
        <v>3</v>
      </c>
      <c r="AF29" s="136" t="s">
        <v>16</v>
      </c>
      <c r="AH29" s="37"/>
    </row>
    <row r="30" spans="1:34" ht="19.5" customHeight="1" thickBot="1" thickTop="1">
      <c r="A30" s="195">
        <v>25</v>
      </c>
      <c r="B30" s="192">
        <v>1079</v>
      </c>
      <c r="C30" s="144">
        <v>118</v>
      </c>
      <c r="D30" s="181">
        <v>42</v>
      </c>
      <c r="E30" s="138">
        <v>32</v>
      </c>
      <c r="F30" s="137">
        <f>330+42-32</f>
        <v>340</v>
      </c>
      <c r="G30" s="176">
        <f t="shared" si="0"/>
        <v>80</v>
      </c>
      <c r="H30" s="139">
        <v>8</v>
      </c>
      <c r="I30" s="138">
        <v>24</v>
      </c>
      <c r="J30" s="138" t="s">
        <v>16</v>
      </c>
      <c r="K30" s="138">
        <v>3</v>
      </c>
      <c r="L30" s="140" t="s">
        <v>16</v>
      </c>
      <c r="M30" s="139">
        <v>51</v>
      </c>
      <c r="N30" s="138">
        <v>12</v>
      </c>
      <c r="O30" s="138">
        <v>17</v>
      </c>
      <c r="P30" s="138">
        <v>8</v>
      </c>
      <c r="Q30" s="133" t="s">
        <v>16</v>
      </c>
      <c r="R30" s="134" t="s">
        <v>16</v>
      </c>
      <c r="S30" s="143">
        <v>116</v>
      </c>
      <c r="T30" s="144">
        <v>243</v>
      </c>
      <c r="U30" s="139">
        <v>9</v>
      </c>
      <c r="V30" s="138">
        <v>2</v>
      </c>
      <c r="W30" s="138">
        <v>4</v>
      </c>
      <c r="X30" s="138">
        <v>4</v>
      </c>
      <c r="Y30" s="138" t="s">
        <v>16</v>
      </c>
      <c r="Z30" s="144">
        <v>5</v>
      </c>
      <c r="AA30" s="139">
        <v>114</v>
      </c>
      <c r="AB30" s="138">
        <v>275</v>
      </c>
      <c r="AC30" s="130">
        <v>3</v>
      </c>
      <c r="AD30" s="130">
        <v>2</v>
      </c>
      <c r="AE30" s="130">
        <v>1</v>
      </c>
      <c r="AF30" s="136" t="s">
        <v>16</v>
      </c>
      <c r="AH30" s="37"/>
    </row>
    <row r="31" spans="1:33" ht="19.5" customHeight="1" thickBot="1" thickTop="1">
      <c r="A31" s="195">
        <v>26</v>
      </c>
      <c r="B31" s="192">
        <v>1154</v>
      </c>
      <c r="C31" s="144">
        <v>122</v>
      </c>
      <c r="D31" s="181">
        <v>43</v>
      </c>
      <c r="E31" s="138">
        <v>79</v>
      </c>
      <c r="F31" s="137">
        <f>340+43-79</f>
        <v>304</v>
      </c>
      <c r="G31" s="176">
        <f t="shared" si="0"/>
        <v>71.52941176470588</v>
      </c>
      <c r="H31" s="139">
        <v>14</v>
      </c>
      <c r="I31" s="138">
        <v>2</v>
      </c>
      <c r="J31" s="138" t="s">
        <v>16</v>
      </c>
      <c r="K31" s="138">
        <v>3</v>
      </c>
      <c r="L31" s="140">
        <v>1</v>
      </c>
      <c r="M31" s="139">
        <v>56</v>
      </c>
      <c r="N31" s="138">
        <v>9</v>
      </c>
      <c r="O31" s="138">
        <v>19</v>
      </c>
      <c r="P31" s="138">
        <v>3</v>
      </c>
      <c r="Q31" s="133" t="s">
        <v>16</v>
      </c>
      <c r="R31" s="134" t="s">
        <v>16</v>
      </c>
      <c r="S31" s="153">
        <v>111</v>
      </c>
      <c r="T31" s="144">
        <v>241</v>
      </c>
      <c r="U31" s="139">
        <v>12</v>
      </c>
      <c r="V31" s="138">
        <v>4</v>
      </c>
      <c r="W31" s="138">
        <v>2</v>
      </c>
      <c r="X31" s="138">
        <v>4</v>
      </c>
      <c r="Y31" s="138">
        <v>2</v>
      </c>
      <c r="Z31" s="144">
        <v>3</v>
      </c>
      <c r="AA31" s="139">
        <v>178</v>
      </c>
      <c r="AB31" s="138">
        <v>226</v>
      </c>
      <c r="AC31" s="130" t="s">
        <v>16</v>
      </c>
      <c r="AD31" s="130" t="s">
        <v>16</v>
      </c>
      <c r="AE31" s="130">
        <v>1</v>
      </c>
      <c r="AF31" s="136" t="s">
        <v>16</v>
      </c>
      <c r="AG31" s="37"/>
    </row>
    <row r="32" spans="1:33" ht="19.5" customHeight="1" thickBot="1" thickTop="1">
      <c r="A32" s="195">
        <v>27</v>
      </c>
      <c r="B32" s="192">
        <v>818</v>
      </c>
      <c r="C32" s="144">
        <v>118</v>
      </c>
      <c r="D32" s="181">
        <v>43</v>
      </c>
      <c r="E32" s="138">
        <v>43</v>
      </c>
      <c r="F32" s="137">
        <v>304</v>
      </c>
      <c r="G32" s="176">
        <f t="shared" si="0"/>
        <v>71.52941176470588</v>
      </c>
      <c r="H32" s="139">
        <v>4</v>
      </c>
      <c r="I32" s="138">
        <v>22</v>
      </c>
      <c r="J32" s="138" t="s">
        <v>16</v>
      </c>
      <c r="K32" s="138">
        <v>5</v>
      </c>
      <c r="L32" s="140">
        <v>1</v>
      </c>
      <c r="M32" s="139">
        <v>51</v>
      </c>
      <c r="N32" s="138">
        <v>11</v>
      </c>
      <c r="O32" s="138">
        <v>18</v>
      </c>
      <c r="P32" s="138">
        <v>6</v>
      </c>
      <c r="Q32" s="133" t="s">
        <v>16</v>
      </c>
      <c r="R32" s="134" t="s">
        <v>16</v>
      </c>
      <c r="S32" s="143">
        <v>124</v>
      </c>
      <c r="T32" s="144">
        <v>282</v>
      </c>
      <c r="U32" s="139">
        <v>5</v>
      </c>
      <c r="V32" s="138">
        <v>5</v>
      </c>
      <c r="W32" s="138">
        <v>3</v>
      </c>
      <c r="X32" s="138">
        <v>4</v>
      </c>
      <c r="Y32" s="138" t="s">
        <v>16</v>
      </c>
      <c r="Z32" s="144">
        <v>2</v>
      </c>
      <c r="AA32" s="139">
        <v>139</v>
      </c>
      <c r="AB32" s="138">
        <v>233</v>
      </c>
      <c r="AC32" s="130">
        <v>1</v>
      </c>
      <c r="AD32" s="130">
        <v>1</v>
      </c>
      <c r="AE32" s="130">
        <v>2</v>
      </c>
      <c r="AF32" s="136" t="s">
        <v>16</v>
      </c>
      <c r="AG32" s="37"/>
    </row>
    <row r="33" spans="1:33" ht="19.5" customHeight="1" thickBot="1" thickTop="1">
      <c r="A33" s="198">
        <v>28</v>
      </c>
      <c r="B33" s="197">
        <v>1032</v>
      </c>
      <c r="C33" s="161">
        <v>148</v>
      </c>
      <c r="D33" s="184">
        <v>44</v>
      </c>
      <c r="E33" s="154">
        <v>59</v>
      </c>
      <c r="F33" s="155">
        <f>304+44-59</f>
        <v>289</v>
      </c>
      <c r="G33" s="176">
        <f t="shared" si="0"/>
        <v>68</v>
      </c>
      <c r="H33" s="156">
        <v>10</v>
      </c>
      <c r="I33" s="154">
        <v>24</v>
      </c>
      <c r="J33" s="154" t="s">
        <v>16</v>
      </c>
      <c r="K33" s="154">
        <v>6</v>
      </c>
      <c r="L33" s="157" t="s">
        <v>16</v>
      </c>
      <c r="M33" s="156">
        <v>51</v>
      </c>
      <c r="N33" s="154">
        <v>13</v>
      </c>
      <c r="O33" s="154">
        <v>18</v>
      </c>
      <c r="P33" s="154">
        <v>6</v>
      </c>
      <c r="Q33" s="133" t="s">
        <v>16</v>
      </c>
      <c r="R33" s="134" t="s">
        <v>16</v>
      </c>
      <c r="S33" s="160">
        <v>106</v>
      </c>
      <c r="T33" s="161">
        <v>283</v>
      </c>
      <c r="U33" s="156">
        <v>12</v>
      </c>
      <c r="V33" s="154">
        <v>5</v>
      </c>
      <c r="W33" s="154">
        <v>3</v>
      </c>
      <c r="X33" s="154">
        <v>3</v>
      </c>
      <c r="Y33" s="154">
        <v>1</v>
      </c>
      <c r="Z33" s="144">
        <v>3</v>
      </c>
      <c r="AA33" s="156">
        <v>138</v>
      </c>
      <c r="AB33" s="154">
        <v>176</v>
      </c>
      <c r="AC33" s="130" t="s">
        <v>16</v>
      </c>
      <c r="AD33" s="130" t="s">
        <v>16</v>
      </c>
      <c r="AE33" s="130" t="s">
        <v>16</v>
      </c>
      <c r="AF33" s="136" t="s">
        <v>16</v>
      </c>
      <c r="AG33" s="37"/>
    </row>
    <row r="34" spans="1:135" s="128" customFormat="1" ht="19.5" customHeight="1" thickBot="1" thickTop="1">
      <c r="A34" s="196">
        <v>29</v>
      </c>
      <c r="B34" s="193" t="s">
        <v>16</v>
      </c>
      <c r="C34" s="150">
        <v>160</v>
      </c>
      <c r="D34" s="182">
        <v>7</v>
      </c>
      <c r="E34" s="146">
        <v>8</v>
      </c>
      <c r="F34" s="145">
        <v>288</v>
      </c>
      <c r="G34" s="206">
        <f t="shared" si="0"/>
        <v>67.76470588235294</v>
      </c>
      <c r="H34" s="147">
        <v>2</v>
      </c>
      <c r="I34" s="146" t="s">
        <v>16</v>
      </c>
      <c r="J34" s="146" t="s">
        <v>16</v>
      </c>
      <c r="K34" s="146">
        <v>1</v>
      </c>
      <c r="L34" s="148">
        <v>2</v>
      </c>
      <c r="M34" s="147">
        <v>6</v>
      </c>
      <c r="N34" s="146">
        <v>5</v>
      </c>
      <c r="O34" s="146">
        <v>0</v>
      </c>
      <c r="P34" s="146" t="s">
        <v>16</v>
      </c>
      <c r="Q34" s="209" t="s">
        <v>16</v>
      </c>
      <c r="R34" s="210" t="s">
        <v>16</v>
      </c>
      <c r="S34" s="149" t="s">
        <v>16</v>
      </c>
      <c r="T34" s="150">
        <v>59</v>
      </c>
      <c r="U34" s="147" t="s">
        <v>16</v>
      </c>
      <c r="V34" s="146" t="s">
        <v>16</v>
      </c>
      <c r="W34" s="146" t="s">
        <v>16</v>
      </c>
      <c r="X34" s="146" t="s">
        <v>16</v>
      </c>
      <c r="Y34" s="146" t="s">
        <v>16</v>
      </c>
      <c r="Z34" s="150" t="s">
        <v>16</v>
      </c>
      <c r="AA34" s="147" t="s">
        <v>16</v>
      </c>
      <c r="AB34" s="146">
        <v>39</v>
      </c>
      <c r="AC34" s="185" t="s">
        <v>16</v>
      </c>
      <c r="AD34" s="185" t="s">
        <v>16</v>
      </c>
      <c r="AE34" s="185" t="s">
        <v>16</v>
      </c>
      <c r="AF34" s="186" t="s">
        <v>16</v>
      </c>
      <c r="AG34" s="37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</row>
    <row r="35" spans="1:33" ht="19.5" customHeight="1" thickBot="1" thickTop="1">
      <c r="A35" s="198">
        <v>30</v>
      </c>
      <c r="B35" s="197">
        <v>1267</v>
      </c>
      <c r="C35" s="161">
        <v>140</v>
      </c>
      <c r="D35" s="184">
        <v>54</v>
      </c>
      <c r="E35" s="154">
        <v>75</v>
      </c>
      <c r="F35" s="155">
        <f>288+54-75</f>
        <v>267</v>
      </c>
      <c r="G35" s="176">
        <f t="shared" si="0"/>
        <v>62.8235294117647</v>
      </c>
      <c r="H35" s="156">
        <v>13</v>
      </c>
      <c r="I35" s="154">
        <v>38</v>
      </c>
      <c r="J35" s="154">
        <v>2</v>
      </c>
      <c r="K35" s="154">
        <v>4</v>
      </c>
      <c r="L35" s="157">
        <v>2</v>
      </c>
      <c r="M35" s="156">
        <v>20</v>
      </c>
      <c r="N35" s="154">
        <v>27</v>
      </c>
      <c r="O35" s="154">
        <v>17</v>
      </c>
      <c r="P35" s="154">
        <v>12</v>
      </c>
      <c r="Q35" s="212" t="s">
        <v>27</v>
      </c>
      <c r="R35" s="213" t="s">
        <v>16</v>
      </c>
      <c r="S35" s="160">
        <v>160</v>
      </c>
      <c r="T35" s="161">
        <v>224</v>
      </c>
      <c r="U35" s="156">
        <v>11</v>
      </c>
      <c r="V35" s="154">
        <v>2</v>
      </c>
      <c r="W35" s="154">
        <v>4</v>
      </c>
      <c r="X35" s="154">
        <v>6</v>
      </c>
      <c r="Y35" s="154">
        <v>1</v>
      </c>
      <c r="Z35" s="161">
        <v>4</v>
      </c>
      <c r="AA35" s="156">
        <v>151</v>
      </c>
      <c r="AB35" s="154">
        <v>279</v>
      </c>
      <c r="AC35" s="130">
        <v>4</v>
      </c>
      <c r="AD35" s="130">
        <v>7</v>
      </c>
      <c r="AE35" s="130">
        <v>2</v>
      </c>
      <c r="AF35" s="136">
        <v>1</v>
      </c>
      <c r="AG35" s="37"/>
    </row>
    <row r="36" spans="1:33" ht="19.5" customHeight="1" thickBot="1" thickTop="1">
      <c r="A36" s="195">
        <v>31</v>
      </c>
      <c r="B36" s="197">
        <v>1032</v>
      </c>
      <c r="C36" s="161">
        <v>114</v>
      </c>
      <c r="D36" s="184">
        <v>41</v>
      </c>
      <c r="E36" s="154">
        <v>37</v>
      </c>
      <c r="F36" s="155">
        <f>267+41-37</f>
        <v>271</v>
      </c>
      <c r="G36" s="176">
        <f t="shared" si="0"/>
        <v>63.76470588235294</v>
      </c>
      <c r="H36" s="156">
        <v>14</v>
      </c>
      <c r="I36" s="154">
        <v>27</v>
      </c>
      <c r="J36" s="154">
        <v>1</v>
      </c>
      <c r="K36" s="154">
        <v>5</v>
      </c>
      <c r="L36" s="157" t="s">
        <v>16</v>
      </c>
      <c r="M36" s="156">
        <v>58</v>
      </c>
      <c r="N36" s="154">
        <v>9</v>
      </c>
      <c r="O36" s="154">
        <v>16</v>
      </c>
      <c r="P36" s="154">
        <v>9</v>
      </c>
      <c r="Q36" s="158" t="s">
        <v>16</v>
      </c>
      <c r="R36" s="159" t="s">
        <v>16</v>
      </c>
      <c r="S36" s="160">
        <v>166</v>
      </c>
      <c r="T36" s="161">
        <v>240</v>
      </c>
      <c r="U36" s="156">
        <v>12</v>
      </c>
      <c r="V36" s="154">
        <v>5</v>
      </c>
      <c r="W36" s="154">
        <v>10</v>
      </c>
      <c r="X36" s="154">
        <v>3</v>
      </c>
      <c r="Y36" s="154" t="s">
        <v>16</v>
      </c>
      <c r="Z36" s="161" t="s">
        <v>16</v>
      </c>
      <c r="AA36" s="156">
        <v>169</v>
      </c>
      <c r="AB36" s="154">
        <v>190</v>
      </c>
      <c r="AC36" s="130">
        <v>3</v>
      </c>
      <c r="AD36" s="130">
        <v>5</v>
      </c>
      <c r="AE36" s="130">
        <v>4</v>
      </c>
      <c r="AF36" s="136" t="s">
        <v>16</v>
      </c>
      <c r="AG36" s="37"/>
    </row>
    <row r="37" spans="1:33" ht="19.5" customHeight="1" thickBot="1" thickTop="1">
      <c r="A37" s="199" t="s">
        <v>22</v>
      </c>
      <c r="B37" s="175">
        <f aca="true" t="shared" si="1" ref="B37:P37">SUM(B6:B36)</f>
        <v>26668</v>
      </c>
      <c r="C37" s="162">
        <f t="shared" si="1"/>
        <v>4254</v>
      </c>
      <c r="D37" s="175">
        <f t="shared" si="1"/>
        <v>1265</v>
      </c>
      <c r="E37" s="174">
        <f t="shared" si="1"/>
        <v>1203</v>
      </c>
      <c r="F37" s="174">
        <f t="shared" si="1"/>
        <v>8215</v>
      </c>
      <c r="G37" s="305">
        <f>SUM(G6:G36)</f>
        <v>1932.941176470588</v>
      </c>
      <c r="H37" s="175">
        <f t="shared" si="1"/>
        <v>239</v>
      </c>
      <c r="I37" s="174">
        <f t="shared" si="1"/>
        <v>704</v>
      </c>
      <c r="J37" s="174">
        <f t="shared" si="1"/>
        <v>14</v>
      </c>
      <c r="K37" s="174">
        <f>SUM(K6:K36)</f>
        <v>105</v>
      </c>
      <c r="L37" s="162">
        <f t="shared" si="1"/>
        <v>30</v>
      </c>
      <c r="M37" s="175">
        <f t="shared" si="1"/>
        <v>1430</v>
      </c>
      <c r="N37" s="174">
        <f t="shared" si="1"/>
        <v>370</v>
      </c>
      <c r="O37" s="174">
        <f t="shared" si="1"/>
        <v>433</v>
      </c>
      <c r="P37" s="215">
        <f t="shared" si="1"/>
        <v>192</v>
      </c>
      <c r="Q37" s="216" t="s">
        <v>40</v>
      </c>
      <c r="R37" s="190" t="s">
        <v>40</v>
      </c>
      <c r="S37" s="175">
        <f aca="true" t="shared" si="2" ref="S37:AB37">SUM(S6:S36)</f>
        <v>3542</v>
      </c>
      <c r="T37" s="162">
        <f t="shared" si="2"/>
        <v>7556</v>
      </c>
      <c r="U37" s="218">
        <f t="shared" si="2"/>
        <v>221</v>
      </c>
      <c r="V37" s="174">
        <f t="shared" si="2"/>
        <v>72</v>
      </c>
      <c r="W37" s="174">
        <f t="shared" si="2"/>
        <v>128</v>
      </c>
      <c r="X37" s="174">
        <f t="shared" si="2"/>
        <v>147</v>
      </c>
      <c r="Y37" s="174">
        <f t="shared" si="2"/>
        <v>11</v>
      </c>
      <c r="Z37" s="162">
        <f t="shared" si="2"/>
        <v>60</v>
      </c>
      <c r="AA37" s="175">
        <f t="shared" si="2"/>
        <v>3917</v>
      </c>
      <c r="AB37" s="174">
        <f t="shared" si="2"/>
        <v>6821</v>
      </c>
      <c r="AC37" s="174">
        <f>SUM(AC7:AC36)</f>
        <v>19</v>
      </c>
      <c r="AD37" s="174">
        <f>SUM(AD6:AD36)</f>
        <v>79</v>
      </c>
      <c r="AE37" s="174">
        <f>SUM(AE6:AE36)</f>
        <v>50</v>
      </c>
      <c r="AF37" s="162">
        <f>SUM(AF6:AF36)</f>
        <v>17</v>
      </c>
      <c r="AG37" s="37"/>
    </row>
    <row r="38" spans="1:33" ht="21" thickTop="1">
      <c r="A38" s="456" t="s">
        <v>162</v>
      </c>
      <c r="B38" s="40"/>
      <c r="C38" s="40"/>
      <c r="D38" s="40"/>
      <c r="E38" s="40"/>
      <c r="F38" s="39"/>
      <c r="G38" s="683">
        <f>G37/31</f>
        <v>62.35294117647058</v>
      </c>
      <c r="H38" s="39"/>
      <c r="I38" s="39"/>
      <c r="J38" s="39"/>
      <c r="K38" s="39"/>
      <c r="L38" s="106"/>
      <c r="M38" s="107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7"/>
    </row>
    <row r="39" spans="1:33" ht="20.25">
      <c r="A39" s="536" t="s">
        <v>52</v>
      </c>
      <c r="B39" s="536"/>
      <c r="C39" s="536"/>
      <c r="D39" s="188" t="s">
        <v>53</v>
      </c>
      <c r="E39" s="188"/>
      <c r="G39" s="214"/>
      <c r="H39" s="39"/>
      <c r="I39" s="39"/>
      <c r="J39" s="39"/>
      <c r="K39" s="39"/>
      <c r="L39" s="106"/>
      <c r="M39" s="106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7"/>
    </row>
    <row r="40" spans="1:33" ht="18">
      <c r="A40" s="39"/>
      <c r="B40" s="40"/>
      <c r="C40" s="40"/>
      <c r="D40" s="40"/>
      <c r="E40" s="40"/>
      <c r="F40" s="39"/>
      <c r="G40" s="37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217" t="s">
        <v>29</v>
      </c>
      <c r="AA40" s="39"/>
      <c r="AB40" s="39"/>
      <c r="AC40" s="39"/>
      <c r="AD40" s="39"/>
      <c r="AE40" s="39"/>
      <c r="AF40" s="39"/>
      <c r="AG40" s="37"/>
    </row>
    <row r="41" ht="12.75">
      <c r="G41" s="42"/>
    </row>
    <row r="42" ht="12.75">
      <c r="N42" s="8"/>
    </row>
    <row r="43" spans="14:15" ht="12.75">
      <c r="N43" s="8"/>
      <c r="O43" s="8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73" spans="4:7" ht="12.75">
      <c r="D73" s="21"/>
      <c r="G73" s="43"/>
    </row>
  </sheetData>
  <sheetProtection/>
  <mergeCells count="28">
    <mergeCell ref="AC4:AD4"/>
    <mergeCell ref="AE4:AF4"/>
    <mergeCell ref="E3:E4"/>
    <mergeCell ref="C3:C4"/>
    <mergeCell ref="F3:F4"/>
    <mergeCell ref="D3:D4"/>
    <mergeCell ref="M4:N4"/>
    <mergeCell ref="I3:I4"/>
    <mergeCell ref="G3:G4"/>
    <mergeCell ref="A39:C39"/>
    <mergeCell ref="W4:X4"/>
    <mergeCell ref="Y4:Z4"/>
    <mergeCell ref="AA4:AB4"/>
    <mergeCell ref="B3:B4"/>
    <mergeCell ref="O4:P4"/>
    <mergeCell ref="U4:V4"/>
    <mergeCell ref="L3:L4"/>
    <mergeCell ref="Q4:R4"/>
    <mergeCell ref="A1:AF1"/>
    <mergeCell ref="A2:AF2"/>
    <mergeCell ref="A3:A4"/>
    <mergeCell ref="A5:C5"/>
    <mergeCell ref="D5:G5"/>
    <mergeCell ref="H5:L5"/>
    <mergeCell ref="S4:T4"/>
    <mergeCell ref="H3:H4"/>
    <mergeCell ref="M3:R3"/>
    <mergeCell ref="S3:AF3"/>
  </mergeCells>
  <printOptions horizontalCentered="1" verticalCentered="1"/>
  <pageMargins left="0.32" right="0.25" top="0" bottom="0" header="0.21" footer="0.16"/>
  <pageSetup horizontalDpi="600" verticalDpi="600" orientation="landscape" paperSize="5" scale="72" r:id="rId2"/>
  <colBreaks count="1" manualBreakCount="1">
    <brk id="32" max="3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J67"/>
  <sheetViews>
    <sheetView view="pageBreakPreview" zoomScale="60" zoomScalePageLayoutView="0" workbookViewId="0" topLeftCell="A13">
      <selection activeCell="G37" sqref="G37"/>
    </sheetView>
  </sheetViews>
  <sheetFormatPr defaultColWidth="9.140625" defaultRowHeight="12.75"/>
  <cols>
    <col min="1" max="1" width="10.00390625" style="0" customWidth="1"/>
    <col min="2" max="2" width="11.00390625" style="4" customWidth="1"/>
    <col min="3" max="3" width="9.421875" style="4" customWidth="1"/>
    <col min="4" max="4" width="9.00390625" style="4" customWidth="1"/>
    <col min="5" max="5" width="9.140625" style="4" customWidth="1"/>
    <col min="6" max="6" width="8.7109375" style="0" customWidth="1"/>
    <col min="7" max="7" width="8.57421875" style="9" customWidth="1"/>
    <col min="8" max="8" width="8.57421875" style="0" customWidth="1"/>
    <col min="9" max="9" width="8.421875" style="0" customWidth="1"/>
    <col min="10" max="10" width="8.7109375" style="0" customWidth="1"/>
    <col min="11" max="11" width="8.00390625" style="0" customWidth="1"/>
    <col min="12" max="12" width="6.7109375" style="0" customWidth="1"/>
    <col min="13" max="13" width="8.57421875" style="0" customWidth="1"/>
    <col min="14" max="14" width="6.8515625" style="0" customWidth="1"/>
    <col min="15" max="15" width="7.57421875" style="0" customWidth="1"/>
    <col min="16" max="16" width="7.7109375" style="0" customWidth="1"/>
    <col min="17" max="17" width="6.140625" style="0" customWidth="1"/>
    <col min="18" max="18" width="5.8515625" style="0" customWidth="1"/>
    <col min="19" max="19" width="9.421875" style="0" customWidth="1"/>
    <col min="20" max="20" width="9.28125" style="0" bestFit="1" customWidth="1"/>
    <col min="21" max="21" width="7.7109375" style="0" customWidth="1"/>
    <col min="22" max="22" width="7.421875" style="0" customWidth="1"/>
    <col min="23" max="23" width="7.00390625" style="0" customWidth="1"/>
    <col min="24" max="24" width="6.7109375" style="0" customWidth="1"/>
    <col min="25" max="25" width="4.7109375" style="0" customWidth="1"/>
    <col min="26" max="26" width="6.28125" style="0" customWidth="1"/>
    <col min="27" max="27" width="9.8515625" style="0" customWidth="1"/>
    <col min="29" max="29" width="5.57421875" style="0" customWidth="1"/>
    <col min="30" max="30" width="6.00390625" style="0" customWidth="1"/>
    <col min="31" max="31" width="5.28125" style="0" customWidth="1"/>
    <col min="32" max="32" width="6.28125" style="0" customWidth="1"/>
    <col min="33" max="16384" width="9.140625" style="9" customWidth="1"/>
  </cols>
  <sheetData>
    <row r="1" spans="1:32" ht="21" customHeight="1">
      <c r="A1" s="566" t="s">
        <v>50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</row>
    <row r="2" spans="1:33" ht="17.25" customHeight="1" thickBot="1">
      <c r="A2" s="531" t="s">
        <v>64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37"/>
    </row>
    <row r="3" spans="1:35" ht="12" customHeight="1" thickTop="1">
      <c r="A3" s="555" t="s">
        <v>23</v>
      </c>
      <c r="B3" s="557" t="s">
        <v>0</v>
      </c>
      <c r="C3" s="559" t="s">
        <v>56</v>
      </c>
      <c r="D3" s="557" t="s">
        <v>20</v>
      </c>
      <c r="E3" s="561" t="s">
        <v>21</v>
      </c>
      <c r="F3" s="563" t="s">
        <v>19</v>
      </c>
      <c r="G3" s="547" t="s">
        <v>2</v>
      </c>
      <c r="H3" s="553" t="s">
        <v>3</v>
      </c>
      <c r="I3" s="554" t="s">
        <v>4</v>
      </c>
      <c r="J3" s="232"/>
      <c r="K3" s="233"/>
      <c r="L3" s="569" t="s">
        <v>5</v>
      </c>
      <c r="M3" s="570" t="s">
        <v>17</v>
      </c>
      <c r="N3" s="571"/>
      <c r="O3" s="571"/>
      <c r="P3" s="571"/>
      <c r="Q3" s="571"/>
      <c r="R3" s="572"/>
      <c r="S3" s="573" t="s">
        <v>48</v>
      </c>
      <c r="T3" s="574"/>
      <c r="U3" s="574"/>
      <c r="V3" s="574"/>
      <c r="W3" s="574"/>
      <c r="X3" s="574"/>
      <c r="Y3" s="574"/>
      <c r="Z3" s="574"/>
      <c r="AA3" s="574"/>
      <c r="AB3" s="574"/>
      <c r="AC3" s="574"/>
      <c r="AD3" s="574"/>
      <c r="AE3" s="574"/>
      <c r="AF3" s="575"/>
      <c r="AG3" s="123"/>
      <c r="AH3" s="76"/>
      <c r="AI3" s="76"/>
    </row>
    <row r="4" spans="1:35" s="37" customFormat="1" ht="92.25" customHeight="1" thickBot="1">
      <c r="A4" s="556"/>
      <c r="B4" s="558"/>
      <c r="C4" s="560"/>
      <c r="D4" s="558"/>
      <c r="E4" s="562"/>
      <c r="F4" s="545"/>
      <c r="G4" s="548"/>
      <c r="H4" s="544"/>
      <c r="I4" s="545"/>
      <c r="J4" s="234" t="s">
        <v>63</v>
      </c>
      <c r="K4" s="234" t="s">
        <v>26</v>
      </c>
      <c r="L4" s="549"/>
      <c r="M4" s="544" t="s">
        <v>6</v>
      </c>
      <c r="N4" s="545"/>
      <c r="O4" s="545" t="s">
        <v>15</v>
      </c>
      <c r="P4" s="545"/>
      <c r="Q4" s="545" t="s">
        <v>7</v>
      </c>
      <c r="R4" s="546"/>
      <c r="S4" s="550" t="s">
        <v>25</v>
      </c>
      <c r="T4" s="551"/>
      <c r="U4" s="544" t="s">
        <v>34</v>
      </c>
      <c r="V4" s="545"/>
      <c r="W4" s="545" t="s">
        <v>9</v>
      </c>
      <c r="X4" s="545"/>
      <c r="Y4" s="545" t="s">
        <v>10</v>
      </c>
      <c r="Z4" s="549"/>
      <c r="AA4" s="544" t="s">
        <v>11</v>
      </c>
      <c r="AB4" s="545"/>
      <c r="AC4" s="545" t="s">
        <v>24</v>
      </c>
      <c r="AD4" s="545"/>
      <c r="AE4" s="545" t="s">
        <v>12</v>
      </c>
      <c r="AF4" s="549"/>
      <c r="AG4" s="123"/>
      <c r="AH4" s="123"/>
      <c r="AI4" s="123"/>
    </row>
    <row r="5" spans="1:34" ht="16.5" customHeight="1" thickBot="1" thickTop="1">
      <c r="A5" s="521"/>
      <c r="B5" s="522"/>
      <c r="C5" s="528"/>
      <c r="D5" s="567" t="s">
        <v>57</v>
      </c>
      <c r="E5" s="567"/>
      <c r="F5" s="567"/>
      <c r="G5" s="568"/>
      <c r="H5" s="522"/>
      <c r="I5" s="522"/>
      <c r="J5" s="522"/>
      <c r="K5" s="522"/>
      <c r="L5" s="528"/>
      <c r="M5" s="63" t="s">
        <v>13</v>
      </c>
      <c r="N5" s="64" t="s">
        <v>14</v>
      </c>
      <c r="O5" s="64" t="s">
        <v>13</v>
      </c>
      <c r="P5" s="64" t="s">
        <v>14</v>
      </c>
      <c r="Q5" s="64" t="s">
        <v>13</v>
      </c>
      <c r="R5" s="65" t="s">
        <v>14</v>
      </c>
      <c r="S5" s="119" t="s">
        <v>13</v>
      </c>
      <c r="T5" s="65" t="s">
        <v>14</v>
      </c>
      <c r="U5" s="63" t="s">
        <v>13</v>
      </c>
      <c r="V5" s="64" t="s">
        <v>14</v>
      </c>
      <c r="W5" s="64" t="s">
        <v>13</v>
      </c>
      <c r="X5" s="64" t="s">
        <v>14</v>
      </c>
      <c r="Y5" s="64" t="s">
        <v>13</v>
      </c>
      <c r="Z5" s="65" t="s">
        <v>14</v>
      </c>
      <c r="AA5" s="120" t="s">
        <v>13</v>
      </c>
      <c r="AB5" s="64" t="s">
        <v>14</v>
      </c>
      <c r="AC5" s="64" t="s">
        <v>13</v>
      </c>
      <c r="AD5" s="64" t="s">
        <v>14</v>
      </c>
      <c r="AE5" s="64" t="s">
        <v>13</v>
      </c>
      <c r="AF5" s="65" t="s">
        <v>14</v>
      </c>
      <c r="AG5" s="37"/>
      <c r="AH5" s="76"/>
    </row>
    <row r="6" spans="1:33" ht="21.75" customHeight="1" thickTop="1">
      <c r="A6" s="194">
        <v>1</v>
      </c>
      <c r="B6" s="220">
        <v>869</v>
      </c>
      <c r="C6" s="224">
        <v>113</v>
      </c>
      <c r="D6" s="180">
        <v>32</v>
      </c>
      <c r="E6" s="130">
        <v>28</v>
      </c>
      <c r="F6" s="129">
        <f>257+32-28</f>
        <v>261</v>
      </c>
      <c r="G6" s="176">
        <f>+F6/4.25</f>
        <v>61.411764705882355</v>
      </c>
      <c r="H6" s="131">
        <v>9</v>
      </c>
      <c r="I6" s="130">
        <v>18</v>
      </c>
      <c r="J6" s="130">
        <v>4</v>
      </c>
      <c r="K6" s="130">
        <v>8</v>
      </c>
      <c r="L6" s="132" t="s">
        <v>16</v>
      </c>
      <c r="M6" s="131">
        <v>58</v>
      </c>
      <c r="N6" s="130">
        <v>12</v>
      </c>
      <c r="O6" s="130">
        <v>22</v>
      </c>
      <c r="P6" s="130">
        <v>5</v>
      </c>
      <c r="Q6" s="133" t="s">
        <v>16</v>
      </c>
      <c r="R6" s="134" t="s">
        <v>16</v>
      </c>
      <c r="S6" s="135">
        <v>81</v>
      </c>
      <c r="T6" s="136">
        <v>409</v>
      </c>
      <c r="U6" s="131">
        <v>4</v>
      </c>
      <c r="V6" s="130">
        <v>7</v>
      </c>
      <c r="W6" s="130">
        <v>2</v>
      </c>
      <c r="X6" s="130">
        <v>3</v>
      </c>
      <c r="Y6" s="130" t="s">
        <v>16</v>
      </c>
      <c r="Z6" s="136">
        <v>4</v>
      </c>
      <c r="AA6" s="131">
        <v>71</v>
      </c>
      <c r="AB6" s="130">
        <v>231</v>
      </c>
      <c r="AC6" s="130">
        <v>2</v>
      </c>
      <c r="AD6" s="130">
        <v>4</v>
      </c>
      <c r="AE6" s="130">
        <v>4</v>
      </c>
      <c r="AF6" s="136" t="s">
        <v>16</v>
      </c>
      <c r="AG6" s="37"/>
    </row>
    <row r="7" spans="1:33" ht="21.75" customHeight="1">
      <c r="A7" s="195">
        <v>2</v>
      </c>
      <c r="B7" s="220">
        <v>1037</v>
      </c>
      <c r="C7" s="222">
        <v>135</v>
      </c>
      <c r="D7" s="181">
        <v>35</v>
      </c>
      <c r="E7" s="138">
        <v>53</v>
      </c>
      <c r="F7" s="137">
        <f>261-18</f>
        <v>243</v>
      </c>
      <c r="G7" s="178">
        <f aca="true" t="shared" si="0" ref="G7:G35">+F7/4.25</f>
        <v>57.1764705882353</v>
      </c>
      <c r="H7" s="139">
        <v>8</v>
      </c>
      <c r="I7" s="138">
        <v>34</v>
      </c>
      <c r="J7" s="138" t="s">
        <v>16</v>
      </c>
      <c r="K7" s="138">
        <v>3</v>
      </c>
      <c r="L7" s="140" t="s">
        <v>16</v>
      </c>
      <c r="M7" s="139">
        <v>51</v>
      </c>
      <c r="N7" s="138">
        <v>4</v>
      </c>
      <c r="O7" s="138">
        <v>14</v>
      </c>
      <c r="P7" s="138">
        <v>9</v>
      </c>
      <c r="Q7" s="133" t="s">
        <v>16</v>
      </c>
      <c r="R7" s="134" t="s">
        <v>16</v>
      </c>
      <c r="S7" s="143">
        <v>122</v>
      </c>
      <c r="T7" s="144">
        <v>290</v>
      </c>
      <c r="U7" s="139">
        <v>7</v>
      </c>
      <c r="V7" s="138">
        <v>8</v>
      </c>
      <c r="W7" s="138">
        <v>4</v>
      </c>
      <c r="X7" s="138">
        <v>3</v>
      </c>
      <c r="Y7" s="138" t="s">
        <v>16</v>
      </c>
      <c r="Z7" s="144">
        <v>3</v>
      </c>
      <c r="AA7" s="139">
        <v>160</v>
      </c>
      <c r="AB7" s="138">
        <v>214</v>
      </c>
      <c r="AC7" s="130">
        <v>1</v>
      </c>
      <c r="AD7" s="130">
        <v>2</v>
      </c>
      <c r="AE7" s="130">
        <v>2</v>
      </c>
      <c r="AF7" s="136">
        <v>2</v>
      </c>
      <c r="AG7" s="37"/>
    </row>
    <row r="8" spans="1:34" ht="21.75" customHeight="1">
      <c r="A8" s="195">
        <v>3</v>
      </c>
      <c r="B8" s="220">
        <v>786</v>
      </c>
      <c r="C8" s="222">
        <v>126</v>
      </c>
      <c r="D8" s="181">
        <v>37</v>
      </c>
      <c r="E8" s="138">
        <v>38</v>
      </c>
      <c r="F8" s="137">
        <v>242</v>
      </c>
      <c r="G8" s="178">
        <f t="shared" si="0"/>
        <v>56.94117647058823</v>
      </c>
      <c r="H8" s="139">
        <v>9</v>
      </c>
      <c r="I8" s="138">
        <v>20</v>
      </c>
      <c r="J8" s="138" t="s">
        <v>59</v>
      </c>
      <c r="K8" s="138">
        <v>5</v>
      </c>
      <c r="L8" s="140">
        <v>4</v>
      </c>
      <c r="M8" s="139">
        <v>36</v>
      </c>
      <c r="N8" s="138">
        <v>13</v>
      </c>
      <c r="O8" s="138">
        <v>17</v>
      </c>
      <c r="P8" s="138">
        <v>7</v>
      </c>
      <c r="Q8" s="133" t="s">
        <v>16</v>
      </c>
      <c r="R8" s="134" t="s">
        <v>16</v>
      </c>
      <c r="S8" s="143">
        <v>103</v>
      </c>
      <c r="T8" s="144">
        <v>223</v>
      </c>
      <c r="U8" s="139">
        <v>4</v>
      </c>
      <c r="V8" s="138">
        <v>8</v>
      </c>
      <c r="W8" s="138">
        <v>4</v>
      </c>
      <c r="X8" s="138">
        <v>8</v>
      </c>
      <c r="Y8" s="138" t="s">
        <v>16</v>
      </c>
      <c r="Z8" s="144">
        <v>1</v>
      </c>
      <c r="AA8" s="139">
        <v>88</v>
      </c>
      <c r="AB8" s="138">
        <v>188</v>
      </c>
      <c r="AC8" s="130">
        <v>2</v>
      </c>
      <c r="AD8" s="130">
        <v>1</v>
      </c>
      <c r="AE8" s="130">
        <v>4</v>
      </c>
      <c r="AF8" s="136" t="s">
        <v>16</v>
      </c>
      <c r="AG8" s="76"/>
      <c r="AH8" s="37"/>
    </row>
    <row r="9" spans="1:34" ht="21.75" customHeight="1">
      <c r="A9" s="195">
        <v>4</v>
      </c>
      <c r="B9" s="220">
        <v>962</v>
      </c>
      <c r="C9" s="222">
        <v>123</v>
      </c>
      <c r="D9" s="181">
        <v>33</v>
      </c>
      <c r="E9" s="138">
        <v>49</v>
      </c>
      <c r="F9" s="137">
        <f>242-16</f>
        <v>226</v>
      </c>
      <c r="G9" s="178">
        <f t="shared" si="0"/>
        <v>53.1764705882353</v>
      </c>
      <c r="H9" s="139">
        <v>7</v>
      </c>
      <c r="I9" s="138">
        <v>14</v>
      </c>
      <c r="J9" s="138" t="s">
        <v>16</v>
      </c>
      <c r="K9" s="138">
        <v>6</v>
      </c>
      <c r="L9" s="140">
        <v>1</v>
      </c>
      <c r="M9" s="139">
        <v>36</v>
      </c>
      <c r="N9" s="138">
        <v>12</v>
      </c>
      <c r="O9" s="138">
        <v>16</v>
      </c>
      <c r="P9" s="138">
        <v>8</v>
      </c>
      <c r="Q9" s="133" t="s">
        <v>16</v>
      </c>
      <c r="R9" s="134" t="s">
        <v>16</v>
      </c>
      <c r="S9" s="143">
        <v>76</v>
      </c>
      <c r="T9" s="144">
        <v>280</v>
      </c>
      <c r="U9" s="139">
        <v>4</v>
      </c>
      <c r="V9" s="138">
        <v>12</v>
      </c>
      <c r="W9" s="138">
        <v>4</v>
      </c>
      <c r="X9" s="138">
        <v>5</v>
      </c>
      <c r="Y9" s="138" t="s">
        <v>16</v>
      </c>
      <c r="Z9" s="144">
        <v>1</v>
      </c>
      <c r="AA9" s="139">
        <v>100</v>
      </c>
      <c r="AB9" s="138">
        <v>180</v>
      </c>
      <c r="AC9" s="130" t="s">
        <v>16</v>
      </c>
      <c r="AD9" s="130">
        <v>2</v>
      </c>
      <c r="AE9" s="130">
        <v>2</v>
      </c>
      <c r="AF9" s="136">
        <v>1</v>
      </c>
      <c r="AH9" s="37"/>
    </row>
    <row r="10" spans="1:34" ht="21.75" customHeight="1">
      <c r="A10" s="196">
        <v>5</v>
      </c>
      <c r="B10" s="221" t="s">
        <v>16</v>
      </c>
      <c r="C10" s="223">
        <v>179</v>
      </c>
      <c r="D10" s="182">
        <v>10</v>
      </c>
      <c r="E10" s="146">
        <v>5</v>
      </c>
      <c r="F10" s="145">
        <v>231</v>
      </c>
      <c r="G10" s="237">
        <f t="shared" si="0"/>
        <v>54.35294117647059</v>
      </c>
      <c r="H10" s="147" t="s">
        <v>16</v>
      </c>
      <c r="I10" s="146" t="s">
        <v>16</v>
      </c>
      <c r="J10" s="146" t="s">
        <v>16</v>
      </c>
      <c r="K10" s="146" t="s">
        <v>16</v>
      </c>
      <c r="L10" s="148" t="s">
        <v>16</v>
      </c>
      <c r="M10" s="147">
        <v>6</v>
      </c>
      <c r="N10" s="146">
        <v>2</v>
      </c>
      <c r="O10" s="146" t="s">
        <v>16</v>
      </c>
      <c r="P10" s="146" t="s">
        <v>16</v>
      </c>
      <c r="Q10" s="209" t="s">
        <v>16</v>
      </c>
      <c r="R10" s="210" t="s">
        <v>16</v>
      </c>
      <c r="S10" s="149">
        <v>0</v>
      </c>
      <c r="T10" s="150">
        <v>78</v>
      </c>
      <c r="U10" s="147" t="s">
        <v>16</v>
      </c>
      <c r="V10" s="146" t="s">
        <v>16</v>
      </c>
      <c r="W10" s="146" t="s">
        <v>16</v>
      </c>
      <c r="X10" s="146" t="s">
        <v>16</v>
      </c>
      <c r="Y10" s="146" t="s">
        <v>16</v>
      </c>
      <c r="Z10" s="150" t="s">
        <v>16</v>
      </c>
      <c r="AA10" s="147" t="s">
        <v>16</v>
      </c>
      <c r="AB10" s="146">
        <v>66</v>
      </c>
      <c r="AC10" s="185" t="s">
        <v>16</v>
      </c>
      <c r="AD10" s="185" t="s">
        <v>16</v>
      </c>
      <c r="AE10" s="185" t="s">
        <v>16</v>
      </c>
      <c r="AF10" s="186" t="s">
        <v>16</v>
      </c>
      <c r="AH10" s="37"/>
    </row>
    <row r="11" spans="1:34" ht="21.75" customHeight="1">
      <c r="A11" s="195">
        <v>6</v>
      </c>
      <c r="B11" s="220">
        <v>1121</v>
      </c>
      <c r="C11" s="222">
        <v>104</v>
      </c>
      <c r="D11" s="181">
        <v>47</v>
      </c>
      <c r="E11" s="138">
        <v>39</v>
      </c>
      <c r="F11" s="137">
        <f>231+8</f>
        <v>239</v>
      </c>
      <c r="G11" s="178">
        <f t="shared" si="0"/>
        <v>56.23529411764706</v>
      </c>
      <c r="H11" s="139">
        <v>8</v>
      </c>
      <c r="I11" s="138">
        <v>22</v>
      </c>
      <c r="J11" s="138">
        <v>2</v>
      </c>
      <c r="K11" s="138">
        <v>2</v>
      </c>
      <c r="L11" s="140" t="s">
        <v>16</v>
      </c>
      <c r="M11" s="139">
        <v>68</v>
      </c>
      <c r="N11" s="138">
        <v>16</v>
      </c>
      <c r="O11" s="138">
        <v>21</v>
      </c>
      <c r="P11" s="138">
        <v>3</v>
      </c>
      <c r="Q11" s="133" t="s">
        <v>27</v>
      </c>
      <c r="R11" s="134" t="s">
        <v>16</v>
      </c>
      <c r="S11" s="143">
        <v>166</v>
      </c>
      <c r="T11" s="144">
        <v>204</v>
      </c>
      <c r="U11" s="139">
        <v>2</v>
      </c>
      <c r="V11" s="138">
        <v>17</v>
      </c>
      <c r="W11" s="138">
        <v>3</v>
      </c>
      <c r="X11" s="138">
        <v>6</v>
      </c>
      <c r="Y11" s="138" t="s">
        <v>16</v>
      </c>
      <c r="Z11" s="144">
        <v>4</v>
      </c>
      <c r="AA11" s="139">
        <v>112</v>
      </c>
      <c r="AB11" s="138">
        <v>250</v>
      </c>
      <c r="AC11" s="130">
        <v>1</v>
      </c>
      <c r="AD11" s="130">
        <v>5</v>
      </c>
      <c r="AE11" s="130">
        <v>1</v>
      </c>
      <c r="AF11" s="144" t="s">
        <v>16</v>
      </c>
      <c r="AH11" s="37"/>
    </row>
    <row r="12" spans="1:34" ht="21.75" customHeight="1">
      <c r="A12" s="195">
        <v>7</v>
      </c>
      <c r="B12" s="220">
        <v>1047</v>
      </c>
      <c r="C12" s="222">
        <v>119</v>
      </c>
      <c r="D12" s="181">
        <v>47</v>
      </c>
      <c r="E12" s="138">
        <v>38</v>
      </c>
      <c r="F12" s="137">
        <v>248</v>
      </c>
      <c r="G12" s="178">
        <f t="shared" si="0"/>
        <v>58.35294117647059</v>
      </c>
      <c r="H12" s="139">
        <v>9</v>
      </c>
      <c r="I12" s="138">
        <v>19</v>
      </c>
      <c r="J12" s="138" t="s">
        <v>16</v>
      </c>
      <c r="K12" s="138">
        <v>4</v>
      </c>
      <c r="L12" s="140" t="s">
        <v>16</v>
      </c>
      <c r="M12" s="151">
        <v>61</v>
      </c>
      <c r="N12" s="152">
        <v>18</v>
      </c>
      <c r="O12" s="138">
        <v>21</v>
      </c>
      <c r="P12" s="138">
        <v>8</v>
      </c>
      <c r="Q12" s="133" t="s">
        <v>16</v>
      </c>
      <c r="R12" s="134" t="s">
        <v>16</v>
      </c>
      <c r="S12" s="143">
        <v>155</v>
      </c>
      <c r="T12" s="144">
        <v>261</v>
      </c>
      <c r="U12" s="139">
        <v>7</v>
      </c>
      <c r="V12" s="138">
        <v>7</v>
      </c>
      <c r="W12" s="138">
        <v>4</v>
      </c>
      <c r="X12" s="138">
        <v>7</v>
      </c>
      <c r="Y12" s="138" t="s">
        <v>16</v>
      </c>
      <c r="Z12" s="144">
        <v>2</v>
      </c>
      <c r="AA12" s="139">
        <v>188</v>
      </c>
      <c r="AB12" s="138">
        <v>344</v>
      </c>
      <c r="AC12" s="130">
        <v>2</v>
      </c>
      <c r="AD12" s="130">
        <v>2</v>
      </c>
      <c r="AE12" s="130">
        <v>3</v>
      </c>
      <c r="AF12" s="136" t="s">
        <v>16</v>
      </c>
      <c r="AH12" s="37"/>
    </row>
    <row r="13" spans="1:34" ht="21.75" customHeight="1">
      <c r="A13" s="195">
        <v>8</v>
      </c>
      <c r="B13" s="220">
        <v>966</v>
      </c>
      <c r="C13" s="222">
        <v>130</v>
      </c>
      <c r="D13" s="181">
        <v>39</v>
      </c>
      <c r="E13" s="138">
        <v>44</v>
      </c>
      <c r="F13" s="137">
        <v>243</v>
      </c>
      <c r="G13" s="178">
        <f t="shared" si="0"/>
        <v>57.1764705882353</v>
      </c>
      <c r="H13" s="139">
        <v>12</v>
      </c>
      <c r="I13" s="138">
        <v>20</v>
      </c>
      <c r="J13" s="138">
        <v>6</v>
      </c>
      <c r="K13" s="138">
        <v>2</v>
      </c>
      <c r="L13" s="140">
        <v>2</v>
      </c>
      <c r="M13" s="139">
        <v>39</v>
      </c>
      <c r="N13" s="138">
        <v>12</v>
      </c>
      <c r="O13" s="138">
        <v>15</v>
      </c>
      <c r="P13" s="138">
        <v>7</v>
      </c>
      <c r="Q13" s="133" t="s">
        <v>16</v>
      </c>
      <c r="R13" s="134" t="s">
        <v>16</v>
      </c>
      <c r="S13" s="143">
        <v>121</v>
      </c>
      <c r="T13" s="144">
        <v>239</v>
      </c>
      <c r="U13" s="139">
        <v>5</v>
      </c>
      <c r="V13" s="138">
        <v>5</v>
      </c>
      <c r="W13" s="138">
        <v>5</v>
      </c>
      <c r="X13" s="138">
        <v>3</v>
      </c>
      <c r="Y13" s="138" t="s">
        <v>16</v>
      </c>
      <c r="Z13" s="144" t="s">
        <v>16</v>
      </c>
      <c r="AA13" s="139">
        <v>144</v>
      </c>
      <c r="AB13" s="138">
        <v>213</v>
      </c>
      <c r="AC13" s="130" t="s">
        <v>16</v>
      </c>
      <c r="AD13" s="130">
        <v>4</v>
      </c>
      <c r="AE13" s="130">
        <v>1</v>
      </c>
      <c r="AF13" s="136">
        <v>1</v>
      </c>
      <c r="AH13" s="37"/>
    </row>
    <row r="14" spans="1:34" ht="21.75" customHeight="1">
      <c r="A14" s="195">
        <v>9</v>
      </c>
      <c r="B14" s="220">
        <v>1068</v>
      </c>
      <c r="C14" s="222">
        <v>124</v>
      </c>
      <c r="D14" s="181">
        <v>36</v>
      </c>
      <c r="E14" s="138">
        <v>41</v>
      </c>
      <c r="F14" s="137">
        <v>238</v>
      </c>
      <c r="G14" s="178">
        <f t="shared" si="0"/>
        <v>56</v>
      </c>
      <c r="H14" s="139">
        <v>9</v>
      </c>
      <c r="I14" s="138">
        <v>22</v>
      </c>
      <c r="J14" s="138" t="s">
        <v>16</v>
      </c>
      <c r="K14" s="138">
        <v>1</v>
      </c>
      <c r="L14" s="140">
        <v>1</v>
      </c>
      <c r="M14" s="139">
        <v>54</v>
      </c>
      <c r="N14" s="138">
        <v>13</v>
      </c>
      <c r="O14" s="138">
        <v>19</v>
      </c>
      <c r="P14" s="138">
        <v>4</v>
      </c>
      <c r="Q14" s="133" t="s">
        <v>16</v>
      </c>
      <c r="R14" s="134" t="s">
        <v>16</v>
      </c>
      <c r="S14" s="143">
        <v>152</v>
      </c>
      <c r="T14" s="144">
        <v>209</v>
      </c>
      <c r="U14" s="139" t="s">
        <v>16</v>
      </c>
      <c r="V14" s="138">
        <v>10</v>
      </c>
      <c r="W14" s="138">
        <v>4</v>
      </c>
      <c r="X14" s="138">
        <v>6</v>
      </c>
      <c r="Y14" s="138" t="s">
        <v>16</v>
      </c>
      <c r="Z14" s="144">
        <v>2</v>
      </c>
      <c r="AA14" s="139">
        <v>112</v>
      </c>
      <c r="AB14" s="138">
        <v>241</v>
      </c>
      <c r="AC14" s="130" t="s">
        <v>16</v>
      </c>
      <c r="AD14" s="130">
        <v>3</v>
      </c>
      <c r="AE14" s="130">
        <v>1</v>
      </c>
      <c r="AF14" s="136">
        <v>1</v>
      </c>
      <c r="AH14" s="37"/>
    </row>
    <row r="15" spans="1:34" ht="21.75" customHeight="1">
      <c r="A15" s="195">
        <v>10</v>
      </c>
      <c r="B15" s="220">
        <v>836</v>
      </c>
      <c r="C15" s="222">
        <v>120</v>
      </c>
      <c r="D15" s="181">
        <v>52</v>
      </c>
      <c r="E15" s="138">
        <v>32</v>
      </c>
      <c r="F15" s="137">
        <v>258</v>
      </c>
      <c r="G15" s="178">
        <f t="shared" si="0"/>
        <v>60.705882352941174</v>
      </c>
      <c r="H15" s="139">
        <v>9</v>
      </c>
      <c r="I15" s="138">
        <v>26</v>
      </c>
      <c r="J15" s="138" t="s">
        <v>16</v>
      </c>
      <c r="K15" s="138">
        <v>3</v>
      </c>
      <c r="L15" s="140">
        <v>1</v>
      </c>
      <c r="M15" s="139">
        <v>47</v>
      </c>
      <c r="N15" s="138">
        <v>14</v>
      </c>
      <c r="O15" s="138">
        <v>17</v>
      </c>
      <c r="P15" s="138">
        <v>5</v>
      </c>
      <c r="Q15" s="133" t="s">
        <v>16</v>
      </c>
      <c r="R15" s="134" t="s">
        <v>16</v>
      </c>
      <c r="S15" s="143">
        <v>111</v>
      </c>
      <c r="T15" s="144">
        <v>328</v>
      </c>
      <c r="U15" s="139">
        <v>2</v>
      </c>
      <c r="V15" s="138">
        <v>9</v>
      </c>
      <c r="W15" s="138">
        <v>1</v>
      </c>
      <c r="X15" s="138">
        <v>5</v>
      </c>
      <c r="Y15" s="138" t="s">
        <v>16</v>
      </c>
      <c r="Z15" s="144">
        <v>2</v>
      </c>
      <c r="AA15" s="139">
        <v>109</v>
      </c>
      <c r="AB15" s="138">
        <v>277</v>
      </c>
      <c r="AC15" s="130">
        <v>2</v>
      </c>
      <c r="AD15" s="130">
        <v>2</v>
      </c>
      <c r="AE15" s="130">
        <v>3</v>
      </c>
      <c r="AF15" s="136" t="s">
        <v>16</v>
      </c>
      <c r="AH15" s="37"/>
    </row>
    <row r="16" spans="1:34" ht="21.75" customHeight="1">
      <c r="A16" s="195">
        <v>11</v>
      </c>
      <c r="B16" s="220">
        <v>955</v>
      </c>
      <c r="C16" s="222">
        <v>135</v>
      </c>
      <c r="D16" s="181">
        <v>34</v>
      </c>
      <c r="E16" s="138">
        <v>41</v>
      </c>
      <c r="F16" s="137">
        <v>251</v>
      </c>
      <c r="G16" s="178">
        <f t="shared" si="0"/>
        <v>59.05882352941177</v>
      </c>
      <c r="H16" s="139">
        <v>5</v>
      </c>
      <c r="I16" s="138">
        <v>22</v>
      </c>
      <c r="J16" s="138" t="s">
        <v>16</v>
      </c>
      <c r="K16" s="138">
        <v>1</v>
      </c>
      <c r="L16" s="140">
        <v>1</v>
      </c>
      <c r="M16" s="139">
        <v>33</v>
      </c>
      <c r="N16" s="138">
        <v>17</v>
      </c>
      <c r="O16" s="138">
        <v>16</v>
      </c>
      <c r="P16" s="138">
        <v>7</v>
      </c>
      <c r="Q16" s="133" t="s">
        <v>16</v>
      </c>
      <c r="R16" s="134" t="s">
        <v>16</v>
      </c>
      <c r="S16" s="143">
        <v>95</v>
      </c>
      <c r="T16" s="144">
        <v>319</v>
      </c>
      <c r="U16" s="139">
        <v>2</v>
      </c>
      <c r="V16" s="138">
        <v>17</v>
      </c>
      <c r="W16" s="138">
        <v>1</v>
      </c>
      <c r="X16" s="138">
        <v>9</v>
      </c>
      <c r="Y16" s="138" t="s">
        <v>16</v>
      </c>
      <c r="Z16" s="144">
        <v>2</v>
      </c>
      <c r="AA16" s="139">
        <v>74</v>
      </c>
      <c r="AB16" s="138">
        <v>279</v>
      </c>
      <c r="AC16" s="130" t="s">
        <v>16</v>
      </c>
      <c r="AD16" s="130" t="s">
        <v>16</v>
      </c>
      <c r="AE16" s="130" t="s">
        <v>16</v>
      </c>
      <c r="AF16" s="136" t="s">
        <v>16</v>
      </c>
      <c r="AH16" s="37"/>
    </row>
    <row r="17" spans="1:34" ht="21.75" customHeight="1">
      <c r="A17" s="196">
        <v>12</v>
      </c>
      <c r="B17" s="221" t="s">
        <v>16</v>
      </c>
      <c r="C17" s="223">
        <v>166</v>
      </c>
      <c r="D17" s="182">
        <v>9</v>
      </c>
      <c r="E17" s="146">
        <v>7</v>
      </c>
      <c r="F17" s="145">
        <v>253</v>
      </c>
      <c r="G17" s="237">
        <f t="shared" si="0"/>
        <v>59.529411764705884</v>
      </c>
      <c r="H17" s="147" t="s">
        <v>16</v>
      </c>
      <c r="I17" s="146" t="s">
        <v>16</v>
      </c>
      <c r="J17" s="146" t="s">
        <v>16</v>
      </c>
      <c r="K17" s="146">
        <v>2</v>
      </c>
      <c r="L17" s="148" t="s">
        <v>16</v>
      </c>
      <c r="M17" s="147">
        <v>10</v>
      </c>
      <c r="N17" s="146">
        <v>5</v>
      </c>
      <c r="O17" s="146" t="s">
        <v>16</v>
      </c>
      <c r="P17" s="146" t="s">
        <v>16</v>
      </c>
      <c r="Q17" s="209" t="s">
        <v>16</v>
      </c>
      <c r="R17" s="210" t="s">
        <v>16</v>
      </c>
      <c r="S17" s="149">
        <v>0</v>
      </c>
      <c r="T17" s="150">
        <v>42</v>
      </c>
      <c r="U17" s="147" t="s">
        <v>16</v>
      </c>
      <c r="V17" s="146" t="s">
        <v>16</v>
      </c>
      <c r="W17" s="146" t="s">
        <v>16</v>
      </c>
      <c r="X17" s="146" t="s">
        <v>16</v>
      </c>
      <c r="Y17" s="146" t="s">
        <v>16</v>
      </c>
      <c r="Z17" s="150" t="s">
        <v>16</v>
      </c>
      <c r="AA17" s="147" t="s">
        <v>16</v>
      </c>
      <c r="AB17" s="146">
        <v>15</v>
      </c>
      <c r="AC17" s="185" t="s">
        <v>16</v>
      </c>
      <c r="AD17" s="185" t="s">
        <v>16</v>
      </c>
      <c r="AE17" s="185" t="s">
        <v>16</v>
      </c>
      <c r="AF17" s="186" t="s">
        <v>16</v>
      </c>
      <c r="AH17" s="37"/>
    </row>
    <row r="18" spans="1:36" ht="21.75" customHeight="1">
      <c r="A18" s="195">
        <v>13</v>
      </c>
      <c r="B18" s="220">
        <v>1204</v>
      </c>
      <c r="C18" s="222">
        <v>117</v>
      </c>
      <c r="D18" s="181">
        <v>54</v>
      </c>
      <c r="E18" s="138">
        <v>64</v>
      </c>
      <c r="F18" s="137">
        <v>243</v>
      </c>
      <c r="G18" s="178">
        <f t="shared" si="0"/>
        <v>57.1764705882353</v>
      </c>
      <c r="H18" s="139">
        <v>10</v>
      </c>
      <c r="I18" s="138">
        <v>29</v>
      </c>
      <c r="J18" s="138">
        <v>2</v>
      </c>
      <c r="K18" s="138">
        <v>4</v>
      </c>
      <c r="L18" s="140">
        <v>1</v>
      </c>
      <c r="M18" s="139">
        <v>48</v>
      </c>
      <c r="N18" s="138">
        <v>14</v>
      </c>
      <c r="O18" s="138">
        <v>15</v>
      </c>
      <c r="P18" s="138">
        <v>12</v>
      </c>
      <c r="Q18" s="133" t="s">
        <v>16</v>
      </c>
      <c r="R18" s="134" t="s">
        <v>16</v>
      </c>
      <c r="S18" s="143">
        <v>113</v>
      </c>
      <c r="T18" s="144">
        <v>245</v>
      </c>
      <c r="U18" s="139">
        <v>1</v>
      </c>
      <c r="V18" s="138">
        <v>12</v>
      </c>
      <c r="W18" s="138">
        <v>2</v>
      </c>
      <c r="X18" s="138">
        <v>8</v>
      </c>
      <c r="Y18" s="138" t="s">
        <v>16</v>
      </c>
      <c r="Z18" s="144">
        <v>3</v>
      </c>
      <c r="AA18" s="139">
        <v>145</v>
      </c>
      <c r="AB18" s="138">
        <v>376</v>
      </c>
      <c r="AC18" s="130" t="s">
        <v>16</v>
      </c>
      <c r="AD18" s="130">
        <v>5</v>
      </c>
      <c r="AE18" s="130"/>
      <c r="AF18" s="136">
        <v>2</v>
      </c>
      <c r="AH18" s="37"/>
      <c r="AJ18" s="76"/>
    </row>
    <row r="19" spans="1:36" ht="21.75" customHeight="1">
      <c r="A19" s="195">
        <v>14</v>
      </c>
      <c r="B19" s="220">
        <v>1099</v>
      </c>
      <c r="C19" s="222">
        <v>106</v>
      </c>
      <c r="D19" s="181">
        <v>47</v>
      </c>
      <c r="E19" s="138">
        <v>25</v>
      </c>
      <c r="F19" s="137">
        <f>243+47-25</f>
        <v>265</v>
      </c>
      <c r="G19" s="178">
        <f t="shared" si="0"/>
        <v>62.35294117647059</v>
      </c>
      <c r="H19" s="139">
        <v>6</v>
      </c>
      <c r="I19" s="138">
        <v>21</v>
      </c>
      <c r="J19" s="138" t="s">
        <v>16</v>
      </c>
      <c r="K19" s="138">
        <v>6</v>
      </c>
      <c r="L19" s="140">
        <v>1</v>
      </c>
      <c r="M19" s="139">
        <v>69</v>
      </c>
      <c r="N19" s="138">
        <v>9</v>
      </c>
      <c r="O19" s="138">
        <v>17</v>
      </c>
      <c r="P19" s="138">
        <v>11</v>
      </c>
      <c r="Q19" s="133" t="s">
        <v>16</v>
      </c>
      <c r="R19" s="134" t="s">
        <v>16</v>
      </c>
      <c r="S19" s="143">
        <v>154</v>
      </c>
      <c r="T19" s="144">
        <v>335</v>
      </c>
      <c r="U19" s="139">
        <v>7</v>
      </c>
      <c r="V19" s="138">
        <v>18</v>
      </c>
      <c r="W19" s="138">
        <v>3</v>
      </c>
      <c r="X19" s="138">
        <v>14</v>
      </c>
      <c r="Y19" s="138" t="s">
        <v>16</v>
      </c>
      <c r="Z19" s="144">
        <v>1</v>
      </c>
      <c r="AA19" s="139">
        <v>148</v>
      </c>
      <c r="AB19" s="138">
        <v>325</v>
      </c>
      <c r="AC19" s="130">
        <v>1</v>
      </c>
      <c r="AD19" s="130">
        <v>1</v>
      </c>
      <c r="AE19" s="130">
        <v>5</v>
      </c>
      <c r="AF19" s="144">
        <v>1</v>
      </c>
      <c r="AH19" s="37"/>
      <c r="AJ19" s="76"/>
    </row>
    <row r="20" spans="1:34" ht="21.75" customHeight="1">
      <c r="A20" s="195">
        <v>15</v>
      </c>
      <c r="B20" s="220">
        <v>842</v>
      </c>
      <c r="C20" s="222">
        <v>158</v>
      </c>
      <c r="D20" s="181">
        <v>44</v>
      </c>
      <c r="E20" s="138">
        <v>38</v>
      </c>
      <c r="F20" s="137">
        <v>271</v>
      </c>
      <c r="G20" s="178">
        <f t="shared" si="0"/>
        <v>63.76470588235294</v>
      </c>
      <c r="H20" s="139">
        <v>13</v>
      </c>
      <c r="I20" s="138">
        <v>20</v>
      </c>
      <c r="J20" s="138">
        <v>1</v>
      </c>
      <c r="K20" s="138">
        <v>2</v>
      </c>
      <c r="L20" s="140">
        <v>3</v>
      </c>
      <c r="M20" s="139">
        <v>55</v>
      </c>
      <c r="N20" s="138">
        <v>18</v>
      </c>
      <c r="O20" s="138">
        <v>18</v>
      </c>
      <c r="P20" s="138">
        <v>6</v>
      </c>
      <c r="Q20" s="133" t="s">
        <v>16</v>
      </c>
      <c r="R20" s="134" t="s">
        <v>16</v>
      </c>
      <c r="S20" s="143">
        <v>145</v>
      </c>
      <c r="T20" s="144">
        <v>291</v>
      </c>
      <c r="U20" s="139">
        <v>3</v>
      </c>
      <c r="V20" s="138">
        <v>6</v>
      </c>
      <c r="W20" s="138">
        <v>6</v>
      </c>
      <c r="X20" s="138">
        <v>4</v>
      </c>
      <c r="Y20" s="138" t="s">
        <v>16</v>
      </c>
      <c r="Z20" s="144" t="s">
        <v>16</v>
      </c>
      <c r="AA20" s="139">
        <v>226</v>
      </c>
      <c r="AB20" s="138">
        <v>209</v>
      </c>
      <c r="AC20" s="130" t="s">
        <v>16</v>
      </c>
      <c r="AD20" s="130"/>
      <c r="AE20" s="130">
        <v>2</v>
      </c>
      <c r="AF20" s="136" t="s">
        <v>16</v>
      </c>
      <c r="AH20" s="37"/>
    </row>
    <row r="21" spans="1:34" ht="21.75" customHeight="1">
      <c r="A21" s="195">
        <v>16</v>
      </c>
      <c r="B21" s="220">
        <v>1013</v>
      </c>
      <c r="C21" s="222">
        <v>158</v>
      </c>
      <c r="D21" s="181">
        <v>45</v>
      </c>
      <c r="E21" s="138">
        <v>50</v>
      </c>
      <c r="F21" s="137">
        <f>271-5</f>
        <v>266</v>
      </c>
      <c r="G21" s="178">
        <f t="shared" si="0"/>
        <v>62.588235294117645</v>
      </c>
      <c r="H21" s="139">
        <v>9</v>
      </c>
      <c r="I21" s="138">
        <v>25</v>
      </c>
      <c r="J21" s="138" t="s">
        <v>16</v>
      </c>
      <c r="K21" s="138">
        <v>6</v>
      </c>
      <c r="L21" s="140" t="s">
        <v>16</v>
      </c>
      <c r="M21" s="139">
        <v>52</v>
      </c>
      <c r="N21" s="138">
        <v>8</v>
      </c>
      <c r="O21" s="138">
        <v>20</v>
      </c>
      <c r="P21" s="138">
        <v>6</v>
      </c>
      <c r="Q21" s="133" t="s">
        <v>16</v>
      </c>
      <c r="R21" s="134" t="s">
        <v>16</v>
      </c>
      <c r="S21" s="153">
        <v>137</v>
      </c>
      <c r="T21" s="144">
        <v>289</v>
      </c>
      <c r="U21" s="139">
        <v>1</v>
      </c>
      <c r="V21" s="138">
        <v>4</v>
      </c>
      <c r="W21" s="138">
        <v>6</v>
      </c>
      <c r="X21" s="138">
        <v>6</v>
      </c>
      <c r="Y21" s="138" t="s">
        <v>16</v>
      </c>
      <c r="Z21" s="144" t="s">
        <v>16</v>
      </c>
      <c r="AA21" s="139">
        <v>196</v>
      </c>
      <c r="AB21" s="138">
        <v>258</v>
      </c>
      <c r="AC21" s="130">
        <v>1</v>
      </c>
      <c r="AD21" s="130">
        <v>6</v>
      </c>
      <c r="AE21" s="130">
        <v>3</v>
      </c>
      <c r="AF21" s="136">
        <v>1</v>
      </c>
      <c r="AH21" s="37"/>
    </row>
    <row r="22" spans="1:34" ht="21.75" customHeight="1">
      <c r="A22" s="195">
        <v>17</v>
      </c>
      <c r="B22" s="220">
        <v>834</v>
      </c>
      <c r="C22" s="222">
        <v>128</v>
      </c>
      <c r="D22" s="181">
        <v>56</v>
      </c>
      <c r="E22" s="138">
        <v>43</v>
      </c>
      <c r="F22" s="137">
        <f>266+13</f>
        <v>279</v>
      </c>
      <c r="G22" s="178">
        <f t="shared" si="0"/>
        <v>65.6470588235294</v>
      </c>
      <c r="H22" s="139">
        <v>10</v>
      </c>
      <c r="I22" s="138">
        <v>17</v>
      </c>
      <c r="J22" s="138" t="s">
        <v>16</v>
      </c>
      <c r="K22" s="138">
        <v>4</v>
      </c>
      <c r="L22" s="140">
        <v>3</v>
      </c>
      <c r="M22" s="139">
        <v>52</v>
      </c>
      <c r="N22" s="138">
        <v>12</v>
      </c>
      <c r="O22" s="138">
        <v>14</v>
      </c>
      <c r="P22" s="138">
        <v>10</v>
      </c>
      <c r="Q22" s="133" t="s">
        <v>16</v>
      </c>
      <c r="R22" s="134" t="s">
        <v>16</v>
      </c>
      <c r="S22" s="143">
        <v>149</v>
      </c>
      <c r="T22" s="144">
        <v>326</v>
      </c>
      <c r="U22" s="139">
        <v>4</v>
      </c>
      <c r="V22" s="138">
        <v>11</v>
      </c>
      <c r="W22" s="138">
        <v>2</v>
      </c>
      <c r="X22" s="138">
        <v>12</v>
      </c>
      <c r="Y22" s="138">
        <v>1</v>
      </c>
      <c r="Z22" s="144">
        <v>3</v>
      </c>
      <c r="AA22" s="139">
        <v>161</v>
      </c>
      <c r="AB22" s="138">
        <v>373</v>
      </c>
      <c r="AC22" s="130">
        <v>3</v>
      </c>
      <c r="AD22" s="130">
        <v>1</v>
      </c>
      <c r="AE22" s="130">
        <v>3</v>
      </c>
      <c r="AF22" s="136">
        <v>1</v>
      </c>
      <c r="AH22" s="37"/>
    </row>
    <row r="23" spans="1:34" ht="21.75" customHeight="1">
      <c r="A23" s="195">
        <v>18</v>
      </c>
      <c r="B23" s="220">
        <v>1067</v>
      </c>
      <c r="C23" s="222">
        <v>157</v>
      </c>
      <c r="D23" s="181">
        <v>29</v>
      </c>
      <c r="E23" s="138">
        <v>41</v>
      </c>
      <c r="F23" s="137">
        <f>279+29-41</f>
        <v>267</v>
      </c>
      <c r="G23" s="178">
        <f t="shared" si="0"/>
        <v>62.8235294117647</v>
      </c>
      <c r="H23" s="139">
        <v>4</v>
      </c>
      <c r="I23" s="138">
        <v>25</v>
      </c>
      <c r="J23" s="138" t="s">
        <v>16</v>
      </c>
      <c r="K23" s="138">
        <v>6</v>
      </c>
      <c r="L23" s="140" t="s">
        <v>16</v>
      </c>
      <c r="M23" s="139">
        <v>41</v>
      </c>
      <c r="N23" s="138">
        <v>13</v>
      </c>
      <c r="O23" s="138">
        <v>15</v>
      </c>
      <c r="P23" s="138">
        <v>7</v>
      </c>
      <c r="Q23" s="133" t="s">
        <v>16</v>
      </c>
      <c r="R23" s="134" t="s">
        <v>16</v>
      </c>
      <c r="S23" s="143">
        <v>100</v>
      </c>
      <c r="T23" s="144">
        <v>230</v>
      </c>
      <c r="U23" s="139" t="s">
        <v>16</v>
      </c>
      <c r="V23" s="138">
        <v>9</v>
      </c>
      <c r="W23" s="138">
        <v>2</v>
      </c>
      <c r="X23" s="138">
        <v>3</v>
      </c>
      <c r="Y23" s="138" t="s">
        <v>16</v>
      </c>
      <c r="Z23" s="144">
        <v>1</v>
      </c>
      <c r="AA23" s="139">
        <v>160</v>
      </c>
      <c r="AB23" s="138">
        <v>162</v>
      </c>
      <c r="AC23" s="130" t="s">
        <v>16</v>
      </c>
      <c r="AD23" s="130" t="s">
        <v>16</v>
      </c>
      <c r="AE23" s="130">
        <v>1</v>
      </c>
      <c r="AF23" s="136">
        <v>1</v>
      </c>
      <c r="AH23" s="37"/>
    </row>
    <row r="24" spans="1:34" ht="21.75" customHeight="1">
      <c r="A24" s="196">
        <v>19</v>
      </c>
      <c r="B24" s="221" t="s">
        <v>16</v>
      </c>
      <c r="C24" s="223">
        <v>222</v>
      </c>
      <c r="D24" s="182">
        <v>10</v>
      </c>
      <c r="E24" s="146">
        <v>6</v>
      </c>
      <c r="F24" s="145">
        <v>271</v>
      </c>
      <c r="G24" s="178">
        <f t="shared" si="0"/>
        <v>63.76470588235294</v>
      </c>
      <c r="H24" s="147" t="s">
        <v>16</v>
      </c>
      <c r="I24" s="146" t="s">
        <v>16</v>
      </c>
      <c r="J24" s="146" t="s">
        <v>16</v>
      </c>
      <c r="K24" s="146">
        <v>1</v>
      </c>
      <c r="L24" s="148" t="s">
        <v>16</v>
      </c>
      <c r="M24" s="147">
        <v>6</v>
      </c>
      <c r="N24" s="146">
        <v>2</v>
      </c>
      <c r="O24" s="146"/>
      <c r="P24" s="146"/>
      <c r="Q24" s="209" t="s">
        <v>16</v>
      </c>
      <c r="R24" s="210" t="s">
        <v>16</v>
      </c>
      <c r="S24" s="149">
        <v>0</v>
      </c>
      <c r="T24" s="150">
        <v>275</v>
      </c>
      <c r="U24" s="147" t="s">
        <v>16</v>
      </c>
      <c r="V24" s="146" t="s">
        <v>16</v>
      </c>
      <c r="W24" s="146" t="s">
        <v>16</v>
      </c>
      <c r="X24" s="146" t="s">
        <v>16</v>
      </c>
      <c r="Y24" s="146" t="s">
        <v>16</v>
      </c>
      <c r="Z24" s="150" t="s">
        <v>16</v>
      </c>
      <c r="AA24" s="147" t="s">
        <v>16</v>
      </c>
      <c r="AB24" s="146">
        <v>33</v>
      </c>
      <c r="AC24" s="185" t="s">
        <v>16</v>
      </c>
      <c r="AD24" s="185" t="s">
        <v>16</v>
      </c>
      <c r="AE24" s="185"/>
      <c r="AF24" s="186" t="s">
        <v>16</v>
      </c>
      <c r="AH24" s="37"/>
    </row>
    <row r="25" spans="1:34" ht="21.75" customHeight="1">
      <c r="A25" s="195">
        <v>20</v>
      </c>
      <c r="B25" s="220">
        <v>1343</v>
      </c>
      <c r="C25" s="222">
        <v>134</v>
      </c>
      <c r="D25" s="181">
        <v>54</v>
      </c>
      <c r="E25" s="138">
        <v>68</v>
      </c>
      <c r="F25" s="137">
        <f>271+54-68</f>
        <v>257</v>
      </c>
      <c r="G25" s="178">
        <f t="shared" si="0"/>
        <v>60.470588235294116</v>
      </c>
      <c r="H25" s="139">
        <v>13</v>
      </c>
      <c r="I25" s="138">
        <v>26</v>
      </c>
      <c r="J25" s="138" t="s">
        <v>60</v>
      </c>
      <c r="K25" s="138">
        <v>2</v>
      </c>
      <c r="L25" s="140">
        <v>4</v>
      </c>
      <c r="M25" s="139">
        <v>54</v>
      </c>
      <c r="N25" s="138">
        <v>8</v>
      </c>
      <c r="O25" s="138">
        <v>18</v>
      </c>
      <c r="P25" s="138">
        <v>8</v>
      </c>
      <c r="Q25" s="141" t="s">
        <v>16</v>
      </c>
      <c r="R25" s="142" t="s">
        <v>16</v>
      </c>
      <c r="S25" s="143">
        <v>131</v>
      </c>
      <c r="T25" s="144">
        <v>297</v>
      </c>
      <c r="U25" s="139">
        <v>7</v>
      </c>
      <c r="V25" s="138">
        <v>7</v>
      </c>
      <c r="W25" s="138">
        <v>1</v>
      </c>
      <c r="X25" s="138">
        <v>9</v>
      </c>
      <c r="Y25" s="138" t="s">
        <v>16</v>
      </c>
      <c r="Z25" s="144" t="s">
        <v>16</v>
      </c>
      <c r="AA25" s="139">
        <v>166</v>
      </c>
      <c r="AB25" s="138">
        <v>274</v>
      </c>
      <c r="AC25" s="130" t="s">
        <v>16</v>
      </c>
      <c r="AD25" s="130" t="s">
        <v>16</v>
      </c>
      <c r="AE25" s="130">
        <v>4</v>
      </c>
      <c r="AF25" s="136" t="s">
        <v>16</v>
      </c>
      <c r="AH25" s="37"/>
    </row>
    <row r="26" spans="1:34" ht="21.75" customHeight="1">
      <c r="A26" s="195">
        <v>21</v>
      </c>
      <c r="B26" s="220">
        <v>1058</v>
      </c>
      <c r="C26" s="222">
        <v>156</v>
      </c>
      <c r="D26" s="181">
        <v>48</v>
      </c>
      <c r="E26" s="138">
        <v>29</v>
      </c>
      <c r="F26" s="137">
        <f>257+48-27</f>
        <v>278</v>
      </c>
      <c r="G26" s="178">
        <f t="shared" si="0"/>
        <v>65.41176470588235</v>
      </c>
      <c r="H26" s="139">
        <v>11</v>
      </c>
      <c r="I26" s="138">
        <v>25</v>
      </c>
      <c r="J26" s="138" t="s">
        <v>16</v>
      </c>
      <c r="K26" s="138">
        <v>3</v>
      </c>
      <c r="L26" s="140">
        <v>1</v>
      </c>
      <c r="M26" s="139">
        <v>53</v>
      </c>
      <c r="N26" s="138">
        <v>19</v>
      </c>
      <c r="O26" s="138">
        <v>14</v>
      </c>
      <c r="P26" s="138">
        <v>7</v>
      </c>
      <c r="Q26" s="133" t="s">
        <v>16</v>
      </c>
      <c r="R26" s="134" t="s">
        <v>16</v>
      </c>
      <c r="S26" s="143">
        <v>127</v>
      </c>
      <c r="T26" s="144">
        <v>273</v>
      </c>
      <c r="U26" s="139">
        <v>1</v>
      </c>
      <c r="V26" s="138">
        <v>6</v>
      </c>
      <c r="W26" s="138">
        <v>4</v>
      </c>
      <c r="X26" s="138">
        <v>6</v>
      </c>
      <c r="Y26" s="138" t="s">
        <v>16</v>
      </c>
      <c r="Z26" s="144">
        <v>1</v>
      </c>
      <c r="AA26" s="139">
        <v>110</v>
      </c>
      <c r="AB26" s="138">
        <v>218</v>
      </c>
      <c r="AC26" s="130">
        <v>1</v>
      </c>
      <c r="AD26" s="130">
        <v>6</v>
      </c>
      <c r="AE26" s="130">
        <v>1</v>
      </c>
      <c r="AF26" s="136">
        <v>1</v>
      </c>
      <c r="AH26" s="37"/>
    </row>
    <row r="27" spans="1:34" ht="21.75" customHeight="1">
      <c r="A27" s="195">
        <v>22</v>
      </c>
      <c r="B27" s="220">
        <v>1053</v>
      </c>
      <c r="C27" s="222">
        <v>147</v>
      </c>
      <c r="D27" s="181">
        <v>42</v>
      </c>
      <c r="E27" s="138">
        <v>58</v>
      </c>
      <c r="F27" s="137">
        <f>278+42-58</f>
        <v>262</v>
      </c>
      <c r="G27" s="178">
        <f t="shared" si="0"/>
        <v>61.64705882352941</v>
      </c>
      <c r="H27" s="139">
        <v>9</v>
      </c>
      <c r="I27" s="138">
        <v>28</v>
      </c>
      <c r="J27" s="138">
        <v>2</v>
      </c>
      <c r="K27" s="138">
        <v>2</v>
      </c>
      <c r="L27" s="140">
        <v>3</v>
      </c>
      <c r="M27" s="139">
        <v>62</v>
      </c>
      <c r="N27" s="138">
        <v>20</v>
      </c>
      <c r="O27" s="138">
        <v>19</v>
      </c>
      <c r="P27" s="138">
        <v>10</v>
      </c>
      <c r="Q27" s="133" t="s">
        <v>27</v>
      </c>
      <c r="R27" s="134" t="s">
        <v>16</v>
      </c>
      <c r="S27" s="143">
        <v>158</v>
      </c>
      <c r="T27" s="144">
        <v>353</v>
      </c>
      <c r="U27" s="139">
        <v>2</v>
      </c>
      <c r="V27" s="138">
        <v>6</v>
      </c>
      <c r="W27" s="138">
        <v>4</v>
      </c>
      <c r="X27" s="138">
        <v>4</v>
      </c>
      <c r="Y27" s="138" t="s">
        <v>16</v>
      </c>
      <c r="Z27" s="144">
        <v>2</v>
      </c>
      <c r="AA27" s="139">
        <v>148</v>
      </c>
      <c r="AB27" s="138">
        <v>336</v>
      </c>
      <c r="AC27" s="130">
        <v>1</v>
      </c>
      <c r="AD27" s="130">
        <v>4</v>
      </c>
      <c r="AE27" s="130">
        <v>3</v>
      </c>
      <c r="AF27" s="144">
        <v>1</v>
      </c>
      <c r="AH27" s="37"/>
    </row>
    <row r="28" spans="1:34" ht="21.75" customHeight="1">
      <c r="A28" s="195">
        <v>23</v>
      </c>
      <c r="B28" s="220">
        <v>1083</v>
      </c>
      <c r="C28" s="222">
        <v>124</v>
      </c>
      <c r="D28" s="181">
        <v>50</v>
      </c>
      <c r="E28" s="138">
        <v>35</v>
      </c>
      <c r="F28" s="137">
        <f>262+50-35</f>
        <v>277</v>
      </c>
      <c r="G28" s="178">
        <f t="shared" si="0"/>
        <v>65.17647058823529</v>
      </c>
      <c r="H28" s="139">
        <v>12</v>
      </c>
      <c r="I28" s="138">
        <v>25</v>
      </c>
      <c r="J28" s="138" t="s">
        <v>16</v>
      </c>
      <c r="K28" s="138">
        <v>5</v>
      </c>
      <c r="L28" s="140">
        <v>3</v>
      </c>
      <c r="M28" s="139">
        <v>56</v>
      </c>
      <c r="N28" s="138">
        <v>14</v>
      </c>
      <c r="O28" s="138">
        <v>20</v>
      </c>
      <c r="P28" s="138">
        <v>9</v>
      </c>
      <c r="Q28" s="133" t="s">
        <v>27</v>
      </c>
      <c r="R28" s="134" t="s">
        <v>16</v>
      </c>
      <c r="S28" s="143">
        <v>149</v>
      </c>
      <c r="T28" s="144">
        <v>320</v>
      </c>
      <c r="U28" s="139">
        <v>7</v>
      </c>
      <c r="V28" s="138">
        <v>10</v>
      </c>
      <c r="W28" s="138">
        <v>10</v>
      </c>
      <c r="X28" s="138">
        <v>7</v>
      </c>
      <c r="Y28" s="138">
        <v>1</v>
      </c>
      <c r="Z28" s="144">
        <v>1</v>
      </c>
      <c r="AA28" s="139">
        <v>180</v>
      </c>
      <c r="AB28" s="138">
        <v>288</v>
      </c>
      <c r="AC28" s="130">
        <v>1</v>
      </c>
      <c r="AD28" s="130">
        <v>8</v>
      </c>
      <c r="AE28" s="130"/>
      <c r="AF28" s="136">
        <v>1</v>
      </c>
      <c r="AH28" s="37"/>
    </row>
    <row r="29" spans="1:34" ht="21.75" customHeight="1">
      <c r="A29" s="195">
        <v>24</v>
      </c>
      <c r="B29" s="222">
        <v>861</v>
      </c>
      <c r="C29" s="225">
        <v>134</v>
      </c>
      <c r="D29" s="181">
        <v>36</v>
      </c>
      <c r="E29" s="138">
        <v>31</v>
      </c>
      <c r="F29" s="137">
        <v>282</v>
      </c>
      <c r="G29" s="178">
        <f t="shared" si="0"/>
        <v>66.3529411764706</v>
      </c>
      <c r="H29" s="139">
        <v>2</v>
      </c>
      <c r="I29" s="138">
        <v>30</v>
      </c>
      <c r="J29" s="138" t="s">
        <v>16</v>
      </c>
      <c r="K29" s="138" t="s">
        <v>16</v>
      </c>
      <c r="L29" s="140" t="s">
        <v>16</v>
      </c>
      <c r="M29" s="139">
        <v>36</v>
      </c>
      <c r="N29" s="138">
        <v>15</v>
      </c>
      <c r="O29" s="138">
        <v>27</v>
      </c>
      <c r="P29" s="138">
        <v>7</v>
      </c>
      <c r="Q29" s="133" t="s">
        <v>16</v>
      </c>
      <c r="R29" s="134" t="s">
        <v>16</v>
      </c>
      <c r="S29" s="143">
        <v>143</v>
      </c>
      <c r="T29" s="144">
        <v>301</v>
      </c>
      <c r="U29" s="139">
        <v>7</v>
      </c>
      <c r="V29" s="138">
        <v>10</v>
      </c>
      <c r="W29" s="138">
        <v>6</v>
      </c>
      <c r="X29" s="138">
        <v>1</v>
      </c>
      <c r="Y29" s="138">
        <v>1</v>
      </c>
      <c r="Z29" s="144">
        <v>2</v>
      </c>
      <c r="AA29" s="139">
        <v>209</v>
      </c>
      <c r="AB29" s="138">
        <v>306</v>
      </c>
      <c r="AC29" s="130" t="s">
        <v>16</v>
      </c>
      <c r="AD29" s="130" t="s">
        <v>16</v>
      </c>
      <c r="AE29" s="130">
        <v>4</v>
      </c>
      <c r="AF29" s="136">
        <v>2</v>
      </c>
      <c r="AH29" s="37"/>
    </row>
    <row r="30" spans="1:34" ht="21.75" customHeight="1">
      <c r="A30" s="195">
        <v>25</v>
      </c>
      <c r="B30" s="228">
        <v>1170</v>
      </c>
      <c r="C30" s="225">
        <v>138</v>
      </c>
      <c r="D30" s="181">
        <v>49</v>
      </c>
      <c r="E30" s="138">
        <v>53</v>
      </c>
      <c r="F30" s="137">
        <v>278</v>
      </c>
      <c r="G30" s="178">
        <f t="shared" si="0"/>
        <v>65.41176470588235</v>
      </c>
      <c r="H30" s="139">
        <v>9</v>
      </c>
      <c r="I30" s="138">
        <v>25</v>
      </c>
      <c r="J30" s="138" t="s">
        <v>16</v>
      </c>
      <c r="K30" s="138">
        <v>2</v>
      </c>
      <c r="L30" s="140" t="s">
        <v>16</v>
      </c>
      <c r="M30" s="139">
        <v>49</v>
      </c>
      <c r="N30" s="138">
        <v>16</v>
      </c>
      <c r="O30" s="138">
        <v>15</v>
      </c>
      <c r="P30" s="138">
        <v>14</v>
      </c>
      <c r="Q30" s="133" t="s">
        <v>27</v>
      </c>
      <c r="R30" s="134" t="s">
        <v>16</v>
      </c>
      <c r="S30" s="143">
        <v>103</v>
      </c>
      <c r="T30" s="144">
        <v>257</v>
      </c>
      <c r="U30" s="139">
        <v>6</v>
      </c>
      <c r="V30" s="138">
        <v>10</v>
      </c>
      <c r="W30" s="138">
        <v>5</v>
      </c>
      <c r="X30" s="138">
        <v>2</v>
      </c>
      <c r="Y30" s="138">
        <v>1</v>
      </c>
      <c r="Z30" s="144">
        <v>3</v>
      </c>
      <c r="AA30" s="139">
        <v>135</v>
      </c>
      <c r="AB30" s="138">
        <v>229</v>
      </c>
      <c r="AC30" s="130">
        <v>2</v>
      </c>
      <c r="AD30" s="130" t="s">
        <v>16</v>
      </c>
      <c r="AE30" s="130">
        <v>5</v>
      </c>
      <c r="AF30" s="136" t="s">
        <v>16</v>
      </c>
      <c r="AH30" s="37"/>
    </row>
    <row r="31" spans="1:33" ht="21.75" customHeight="1">
      <c r="A31" s="196">
        <v>26</v>
      </c>
      <c r="B31" s="229"/>
      <c r="C31" s="226">
        <v>203</v>
      </c>
      <c r="D31" s="182">
        <v>7</v>
      </c>
      <c r="E31" s="146">
        <v>6</v>
      </c>
      <c r="F31" s="145">
        <v>279</v>
      </c>
      <c r="G31" s="178">
        <f t="shared" si="0"/>
        <v>65.6470588235294</v>
      </c>
      <c r="H31" s="147" t="s">
        <v>16</v>
      </c>
      <c r="I31" s="146" t="s">
        <v>16</v>
      </c>
      <c r="J31" s="146" t="s">
        <v>16</v>
      </c>
      <c r="K31" s="146">
        <v>6</v>
      </c>
      <c r="L31" s="148" t="s">
        <v>16</v>
      </c>
      <c r="M31" s="147">
        <v>9</v>
      </c>
      <c r="N31" s="146">
        <v>5</v>
      </c>
      <c r="O31" s="146" t="s">
        <v>16</v>
      </c>
      <c r="P31" s="146" t="s">
        <v>16</v>
      </c>
      <c r="Q31" s="209" t="s">
        <v>16</v>
      </c>
      <c r="R31" s="210" t="s">
        <v>16</v>
      </c>
      <c r="S31" s="219">
        <v>0</v>
      </c>
      <c r="T31" s="150">
        <v>70</v>
      </c>
      <c r="U31" s="147" t="s">
        <v>16</v>
      </c>
      <c r="V31" s="146" t="s">
        <v>16</v>
      </c>
      <c r="W31" s="146" t="s">
        <v>16</v>
      </c>
      <c r="X31" s="146" t="s">
        <v>16</v>
      </c>
      <c r="Y31" s="146" t="s">
        <v>16</v>
      </c>
      <c r="Z31" s="150" t="s">
        <v>16</v>
      </c>
      <c r="AA31" s="147" t="s">
        <v>16</v>
      </c>
      <c r="AB31" s="146">
        <v>15</v>
      </c>
      <c r="AC31" s="185" t="s">
        <v>16</v>
      </c>
      <c r="AD31" s="185" t="s">
        <v>16</v>
      </c>
      <c r="AE31" s="185"/>
      <c r="AF31" s="186" t="s">
        <v>16</v>
      </c>
      <c r="AG31" s="37"/>
    </row>
    <row r="32" spans="1:33" ht="21.75" customHeight="1">
      <c r="A32" s="195">
        <v>27</v>
      </c>
      <c r="B32" s="228">
        <v>1343</v>
      </c>
      <c r="C32" s="225">
        <v>127</v>
      </c>
      <c r="D32" s="181">
        <v>52</v>
      </c>
      <c r="E32" s="138">
        <v>59</v>
      </c>
      <c r="F32" s="137">
        <v>272</v>
      </c>
      <c r="G32" s="178">
        <f t="shared" si="0"/>
        <v>64</v>
      </c>
      <c r="H32" s="139">
        <v>10</v>
      </c>
      <c r="I32" s="138">
        <v>28</v>
      </c>
      <c r="J32" s="138">
        <v>1</v>
      </c>
      <c r="K32" s="138">
        <v>3</v>
      </c>
      <c r="L32" s="140" t="s">
        <v>16</v>
      </c>
      <c r="M32" s="139">
        <v>67</v>
      </c>
      <c r="N32" s="138">
        <v>8</v>
      </c>
      <c r="O32" s="138">
        <v>18</v>
      </c>
      <c r="P32" s="138">
        <v>4</v>
      </c>
      <c r="Q32" s="133" t="s">
        <v>16</v>
      </c>
      <c r="R32" s="134" t="s">
        <v>16</v>
      </c>
      <c r="S32" s="143">
        <v>170</v>
      </c>
      <c r="T32" s="144">
        <v>279</v>
      </c>
      <c r="U32" s="139">
        <v>2</v>
      </c>
      <c r="V32" s="138">
        <v>13</v>
      </c>
      <c r="W32" s="138">
        <v>5</v>
      </c>
      <c r="X32" s="138">
        <v>5</v>
      </c>
      <c r="Y32" s="138" t="s">
        <v>16</v>
      </c>
      <c r="Z32" s="144">
        <v>3</v>
      </c>
      <c r="AA32" s="139">
        <v>161</v>
      </c>
      <c r="AB32" s="138">
        <v>279</v>
      </c>
      <c r="AC32" s="130">
        <v>1</v>
      </c>
      <c r="AD32" s="130">
        <v>9</v>
      </c>
      <c r="AE32" s="130">
        <v>3</v>
      </c>
      <c r="AF32" s="136">
        <v>1</v>
      </c>
      <c r="AG32" s="37"/>
    </row>
    <row r="33" spans="1:33" ht="21.75" customHeight="1">
      <c r="A33" s="198">
        <v>28</v>
      </c>
      <c r="B33" s="230">
        <v>1143</v>
      </c>
      <c r="C33" s="227">
        <v>139</v>
      </c>
      <c r="D33" s="184">
        <v>52</v>
      </c>
      <c r="E33" s="154">
        <v>52</v>
      </c>
      <c r="F33" s="155">
        <v>272</v>
      </c>
      <c r="G33" s="178">
        <f t="shared" si="0"/>
        <v>64</v>
      </c>
      <c r="H33" s="156">
        <v>13</v>
      </c>
      <c r="I33" s="154">
        <v>26</v>
      </c>
      <c r="J33" s="154" t="s">
        <v>16</v>
      </c>
      <c r="K33" s="154">
        <v>2</v>
      </c>
      <c r="L33" s="157" t="s">
        <v>16</v>
      </c>
      <c r="M33" s="156">
        <v>64</v>
      </c>
      <c r="N33" s="154">
        <v>21</v>
      </c>
      <c r="O33" s="154">
        <v>17</v>
      </c>
      <c r="P33" s="154">
        <v>11</v>
      </c>
      <c r="Q33" s="133" t="s">
        <v>16</v>
      </c>
      <c r="R33" s="134" t="s">
        <v>16</v>
      </c>
      <c r="S33" s="160">
        <v>166</v>
      </c>
      <c r="T33" s="161">
        <v>259</v>
      </c>
      <c r="U33" s="156">
        <v>3</v>
      </c>
      <c r="V33" s="154">
        <v>15</v>
      </c>
      <c r="W33" s="154">
        <v>5</v>
      </c>
      <c r="X33" s="154">
        <v>6</v>
      </c>
      <c r="Y33" s="154" t="s">
        <v>16</v>
      </c>
      <c r="Z33" s="144" t="s">
        <v>16</v>
      </c>
      <c r="AA33" s="156">
        <v>212</v>
      </c>
      <c r="AB33" s="154">
        <v>210</v>
      </c>
      <c r="AC33" s="130" t="s">
        <v>16</v>
      </c>
      <c r="AD33" s="130" t="s">
        <v>16</v>
      </c>
      <c r="AE33" s="130">
        <v>5</v>
      </c>
      <c r="AF33" s="136" t="s">
        <v>16</v>
      </c>
      <c r="AG33" s="37"/>
    </row>
    <row r="34" spans="1:33" ht="21.75" customHeight="1">
      <c r="A34" s="195">
        <v>29</v>
      </c>
      <c r="B34" s="228">
        <v>1014</v>
      </c>
      <c r="C34" s="225">
        <v>128</v>
      </c>
      <c r="D34" s="181">
        <v>28</v>
      </c>
      <c r="E34" s="138">
        <v>35</v>
      </c>
      <c r="F34" s="137">
        <f>272+28-35</f>
        <v>265</v>
      </c>
      <c r="G34" s="178">
        <f t="shared" si="0"/>
        <v>62.35294117647059</v>
      </c>
      <c r="H34" s="139">
        <v>9</v>
      </c>
      <c r="I34" s="138">
        <v>30</v>
      </c>
      <c r="J34" s="138" t="s">
        <v>16</v>
      </c>
      <c r="K34" s="138">
        <v>4</v>
      </c>
      <c r="L34" s="140">
        <v>1</v>
      </c>
      <c r="M34" s="139">
        <v>56</v>
      </c>
      <c r="N34" s="138">
        <v>9</v>
      </c>
      <c r="O34" s="138">
        <v>14</v>
      </c>
      <c r="P34" s="138">
        <v>11</v>
      </c>
      <c r="Q34" s="133" t="s">
        <v>27</v>
      </c>
      <c r="R34" s="134" t="s">
        <v>16</v>
      </c>
      <c r="S34" s="143">
        <v>133</v>
      </c>
      <c r="T34" s="144">
        <v>272</v>
      </c>
      <c r="U34" s="139">
        <v>3</v>
      </c>
      <c r="V34" s="138">
        <v>12</v>
      </c>
      <c r="W34" s="138">
        <v>2</v>
      </c>
      <c r="X34" s="138">
        <v>4</v>
      </c>
      <c r="Y34" s="138" t="s">
        <v>16</v>
      </c>
      <c r="Z34" s="144" t="s">
        <v>16</v>
      </c>
      <c r="AA34" s="139">
        <v>105</v>
      </c>
      <c r="AB34" s="138">
        <v>159</v>
      </c>
      <c r="AC34" s="130">
        <v>4</v>
      </c>
      <c r="AD34" s="130">
        <v>6</v>
      </c>
      <c r="AE34" s="130">
        <v>3</v>
      </c>
      <c r="AF34" s="136">
        <v>1</v>
      </c>
      <c r="AG34" s="37"/>
    </row>
    <row r="35" spans="1:33" ht="21.75" customHeight="1" thickBot="1">
      <c r="A35" s="198">
        <v>30</v>
      </c>
      <c r="B35" s="230">
        <v>1061</v>
      </c>
      <c r="C35" s="227">
        <v>145</v>
      </c>
      <c r="D35" s="184">
        <v>43</v>
      </c>
      <c r="E35" s="154">
        <v>27</v>
      </c>
      <c r="F35" s="235">
        <f>265+43-27</f>
        <v>281</v>
      </c>
      <c r="G35" s="236">
        <f t="shared" si="0"/>
        <v>66.11764705882354</v>
      </c>
      <c r="H35" s="156">
        <v>13</v>
      </c>
      <c r="I35" s="154">
        <v>18</v>
      </c>
      <c r="J35" s="154" t="s">
        <v>16</v>
      </c>
      <c r="K35" s="154">
        <v>2</v>
      </c>
      <c r="L35" s="157">
        <v>5</v>
      </c>
      <c r="M35" s="156">
        <v>60</v>
      </c>
      <c r="N35" s="154">
        <v>6</v>
      </c>
      <c r="O35" s="154">
        <v>14</v>
      </c>
      <c r="P35" s="154">
        <v>4</v>
      </c>
      <c r="Q35" s="212" t="s">
        <v>16</v>
      </c>
      <c r="R35" s="213" t="s">
        <v>16</v>
      </c>
      <c r="S35" s="160">
        <v>97</v>
      </c>
      <c r="T35" s="161">
        <v>228</v>
      </c>
      <c r="U35" s="156">
        <v>2</v>
      </c>
      <c r="V35" s="154">
        <v>8</v>
      </c>
      <c r="W35" s="154">
        <v>5</v>
      </c>
      <c r="X35" s="154">
        <v>7</v>
      </c>
      <c r="Y35" s="154" t="s">
        <v>16</v>
      </c>
      <c r="Z35" s="161">
        <v>1</v>
      </c>
      <c r="AA35" s="156">
        <v>136</v>
      </c>
      <c r="AB35" s="154">
        <v>250</v>
      </c>
      <c r="AC35" s="130" t="s">
        <v>16</v>
      </c>
      <c r="AD35" s="130">
        <v>1</v>
      </c>
      <c r="AE35" s="130">
        <v>1</v>
      </c>
      <c r="AF35" s="136" t="s">
        <v>16</v>
      </c>
      <c r="AG35" s="37"/>
    </row>
    <row r="36" spans="1:33" ht="21.75" customHeight="1" thickBot="1" thickTop="1">
      <c r="A36" s="199" t="s">
        <v>22</v>
      </c>
      <c r="B36" s="231">
        <f aca="true" t="shared" si="1" ref="B36:AF36">SUM(B6:B35)</f>
        <v>26835</v>
      </c>
      <c r="C36" s="231">
        <f t="shared" si="1"/>
        <v>4195</v>
      </c>
      <c r="D36" s="231">
        <f t="shared" si="1"/>
        <v>1157</v>
      </c>
      <c r="E36" s="231">
        <f t="shared" si="1"/>
        <v>1135</v>
      </c>
      <c r="F36" s="200">
        <f t="shared" si="1"/>
        <v>7798</v>
      </c>
      <c r="G36" s="457">
        <f>SUM(G6:G35)</f>
        <v>1834.8235294117649</v>
      </c>
      <c r="H36" s="231">
        <f t="shared" si="1"/>
        <v>238</v>
      </c>
      <c r="I36" s="231">
        <f t="shared" si="1"/>
        <v>615</v>
      </c>
      <c r="J36" s="174" t="s">
        <v>61</v>
      </c>
      <c r="K36" s="231">
        <f t="shared" si="1"/>
        <v>97</v>
      </c>
      <c r="L36" s="231">
        <f t="shared" si="1"/>
        <v>35</v>
      </c>
      <c r="M36" s="231">
        <f t="shared" si="1"/>
        <v>1388</v>
      </c>
      <c r="N36" s="231">
        <f t="shared" si="1"/>
        <v>355</v>
      </c>
      <c r="O36" s="231">
        <f t="shared" si="1"/>
        <v>453</v>
      </c>
      <c r="P36" s="231">
        <f t="shared" si="1"/>
        <v>200</v>
      </c>
      <c r="Q36" s="231">
        <v>5</v>
      </c>
      <c r="R36" s="190" t="s">
        <v>16</v>
      </c>
      <c r="S36" s="231">
        <f t="shared" si="1"/>
        <v>3357</v>
      </c>
      <c r="T36" s="231">
        <f t="shared" si="1"/>
        <v>7782</v>
      </c>
      <c r="U36" s="231">
        <f t="shared" si="1"/>
        <v>93</v>
      </c>
      <c r="V36" s="231">
        <f t="shared" si="1"/>
        <v>257</v>
      </c>
      <c r="W36" s="231">
        <f t="shared" si="1"/>
        <v>100</v>
      </c>
      <c r="X36" s="231">
        <f t="shared" si="1"/>
        <v>153</v>
      </c>
      <c r="Y36" s="231">
        <f t="shared" si="1"/>
        <v>4</v>
      </c>
      <c r="Z36" s="231">
        <f t="shared" si="1"/>
        <v>42</v>
      </c>
      <c r="AA36" s="231">
        <f t="shared" si="1"/>
        <v>3756</v>
      </c>
      <c r="AB36" s="231">
        <f t="shared" si="1"/>
        <v>6798</v>
      </c>
      <c r="AC36" s="231">
        <f t="shared" si="1"/>
        <v>25</v>
      </c>
      <c r="AD36" s="231">
        <f t="shared" si="1"/>
        <v>72</v>
      </c>
      <c r="AE36" s="231">
        <f t="shared" si="1"/>
        <v>64</v>
      </c>
      <c r="AF36" s="231">
        <f t="shared" si="1"/>
        <v>18</v>
      </c>
      <c r="AG36" s="37"/>
    </row>
    <row r="37" spans="1:33" ht="18.75" thickTop="1">
      <c r="A37" s="39"/>
      <c r="B37" s="40"/>
      <c r="C37" s="40"/>
      <c r="D37" s="40"/>
      <c r="E37" s="40"/>
      <c r="F37" s="39"/>
      <c r="G37" s="687">
        <f>G36/30</f>
        <v>61.16078431372549</v>
      </c>
      <c r="H37" s="39"/>
      <c r="I37" s="39"/>
      <c r="J37" s="39"/>
      <c r="K37" s="39"/>
      <c r="L37" s="106"/>
      <c r="M37" s="107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7"/>
    </row>
    <row r="38" spans="1:33" ht="20.25">
      <c r="A38" s="536" t="s">
        <v>58</v>
      </c>
      <c r="B38" s="536"/>
      <c r="C38" s="536"/>
      <c r="D38" s="188" t="s">
        <v>62</v>
      </c>
      <c r="E38" s="188"/>
      <c r="G38" s="214"/>
      <c r="H38" s="39"/>
      <c r="I38" s="39"/>
      <c r="J38" s="39"/>
      <c r="K38" s="39"/>
      <c r="L38" s="106"/>
      <c r="M38" s="106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7"/>
    </row>
    <row r="39" spans="1:33" ht="18">
      <c r="A39" s="39"/>
      <c r="B39" s="40"/>
      <c r="C39" s="40"/>
      <c r="D39" s="40"/>
      <c r="E39" s="40"/>
      <c r="F39" s="39"/>
      <c r="G39" s="37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217" t="s">
        <v>29</v>
      </c>
      <c r="AA39" s="39"/>
      <c r="AB39" s="39"/>
      <c r="AC39" s="39"/>
      <c r="AD39" s="39"/>
      <c r="AE39" s="39"/>
      <c r="AF39" s="39"/>
      <c r="AG39" s="37"/>
    </row>
    <row r="40" ht="12.75">
      <c r="G40" s="42"/>
    </row>
    <row r="41" ht="12.75">
      <c r="N41" s="8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67" spans="4:7" ht="12.75">
      <c r="D67" s="21"/>
      <c r="G67" s="43"/>
    </row>
  </sheetData>
  <sheetProtection/>
  <mergeCells count="28">
    <mergeCell ref="C3:C4"/>
    <mergeCell ref="H3:H4"/>
    <mergeCell ref="M3:R3"/>
    <mergeCell ref="S3:AF3"/>
    <mergeCell ref="O4:P4"/>
    <mergeCell ref="U4:V4"/>
    <mergeCell ref="M4:N4"/>
    <mergeCell ref="Q4:R4"/>
    <mergeCell ref="S4:T4"/>
    <mergeCell ref="Y4:Z4"/>
    <mergeCell ref="AA4:AB4"/>
    <mergeCell ref="AC4:AD4"/>
    <mergeCell ref="AE4:AF4"/>
    <mergeCell ref="D3:D4"/>
    <mergeCell ref="G3:G4"/>
    <mergeCell ref="E3:E4"/>
    <mergeCell ref="W4:X4"/>
    <mergeCell ref="F3:F4"/>
    <mergeCell ref="A38:C38"/>
    <mergeCell ref="A1:AF1"/>
    <mergeCell ref="A2:AF2"/>
    <mergeCell ref="A3:A4"/>
    <mergeCell ref="A5:C5"/>
    <mergeCell ref="D5:G5"/>
    <mergeCell ref="H5:L5"/>
    <mergeCell ref="B3:B4"/>
    <mergeCell ref="L3:L4"/>
    <mergeCell ref="I3:I4"/>
  </mergeCells>
  <printOptions horizontalCentered="1" verticalCentered="1"/>
  <pageMargins left="0.5" right="0.5" top="0" bottom="0" header="0.21" footer="0.16"/>
  <pageSetup horizontalDpi="600" verticalDpi="600" orientation="landscape" paperSize="5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AJ68"/>
  <sheetViews>
    <sheetView view="pageBreakPreview" zoomScale="85" zoomScaleSheetLayoutView="85" zoomScalePageLayoutView="0" workbookViewId="0" topLeftCell="A25">
      <selection activeCell="G38" sqref="G38"/>
    </sheetView>
  </sheetViews>
  <sheetFormatPr defaultColWidth="9.140625" defaultRowHeight="12.75"/>
  <cols>
    <col min="1" max="1" width="8.8515625" style="0" customWidth="1"/>
    <col min="2" max="2" width="11.00390625" style="4" customWidth="1"/>
    <col min="3" max="3" width="9.421875" style="4" customWidth="1"/>
    <col min="4" max="4" width="9.00390625" style="4" customWidth="1"/>
    <col min="5" max="5" width="9.140625" style="4" customWidth="1"/>
    <col min="6" max="6" width="8.7109375" style="0" customWidth="1"/>
    <col min="7" max="7" width="8.57421875" style="9" customWidth="1"/>
    <col min="8" max="8" width="8.57421875" style="0" customWidth="1"/>
    <col min="9" max="9" width="8.421875" style="0" customWidth="1"/>
    <col min="10" max="10" width="8.7109375" style="0" customWidth="1"/>
    <col min="11" max="11" width="8.00390625" style="0" customWidth="1"/>
    <col min="12" max="12" width="7.57421875" style="0" customWidth="1"/>
    <col min="13" max="13" width="8.57421875" style="0" customWidth="1"/>
    <col min="14" max="14" width="6.8515625" style="0" customWidth="1"/>
    <col min="15" max="15" width="7.57421875" style="0" customWidth="1"/>
    <col min="16" max="16" width="7.7109375" style="0" customWidth="1"/>
    <col min="17" max="17" width="6.140625" style="0" customWidth="1"/>
    <col min="18" max="18" width="5.8515625" style="0" customWidth="1"/>
    <col min="19" max="19" width="9.421875" style="0" customWidth="1"/>
    <col min="20" max="20" width="9.28125" style="0" bestFit="1" customWidth="1"/>
    <col min="21" max="21" width="7.7109375" style="0" customWidth="1"/>
    <col min="22" max="22" width="7.421875" style="0" customWidth="1"/>
    <col min="23" max="23" width="7.00390625" style="0" customWidth="1"/>
    <col min="24" max="24" width="6.7109375" style="0" customWidth="1"/>
    <col min="25" max="25" width="5.28125" style="0" bestFit="1" customWidth="1"/>
    <col min="26" max="26" width="6.28125" style="0" customWidth="1"/>
    <col min="27" max="28" width="9.00390625" style="0" bestFit="1" customWidth="1"/>
    <col min="29" max="29" width="6.8515625" style="0" customWidth="1"/>
    <col min="30" max="30" width="6.7109375" style="0" customWidth="1"/>
    <col min="31" max="31" width="8.00390625" style="0" customWidth="1"/>
    <col min="32" max="32" width="8.7109375" style="0" customWidth="1"/>
    <col min="33" max="16384" width="9.140625" style="9" customWidth="1"/>
  </cols>
  <sheetData>
    <row r="1" spans="1:32" ht="21" customHeight="1">
      <c r="A1" s="566" t="s">
        <v>50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</row>
    <row r="2" spans="1:33" ht="17.25" customHeight="1" thickBot="1">
      <c r="A2" s="531" t="s">
        <v>65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37"/>
    </row>
    <row r="3" spans="1:35" ht="12" customHeight="1" thickTop="1">
      <c r="A3" s="555" t="s">
        <v>23</v>
      </c>
      <c r="B3" s="576" t="s">
        <v>0</v>
      </c>
      <c r="C3" s="578" t="s">
        <v>56</v>
      </c>
      <c r="D3" s="578" t="s">
        <v>20</v>
      </c>
      <c r="E3" s="576" t="s">
        <v>21</v>
      </c>
      <c r="F3" s="580" t="s">
        <v>19</v>
      </c>
      <c r="G3" s="582" t="s">
        <v>2</v>
      </c>
      <c r="H3" s="584" t="s">
        <v>3</v>
      </c>
      <c r="I3" s="586" t="s">
        <v>4</v>
      </c>
      <c r="J3" s="250"/>
      <c r="K3" s="251"/>
      <c r="L3" s="569" t="s">
        <v>5</v>
      </c>
      <c r="M3" s="570" t="s">
        <v>17</v>
      </c>
      <c r="N3" s="571"/>
      <c r="O3" s="571"/>
      <c r="P3" s="571"/>
      <c r="Q3" s="571"/>
      <c r="R3" s="572"/>
      <c r="S3" s="587" t="s">
        <v>67</v>
      </c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9"/>
      <c r="AG3" s="123"/>
      <c r="AH3" s="76"/>
      <c r="AI3" s="76"/>
    </row>
    <row r="4" spans="1:35" s="37" customFormat="1" ht="92.25" customHeight="1" thickBot="1">
      <c r="A4" s="556"/>
      <c r="B4" s="577"/>
      <c r="C4" s="579"/>
      <c r="D4" s="579"/>
      <c r="E4" s="577"/>
      <c r="F4" s="581"/>
      <c r="G4" s="583"/>
      <c r="H4" s="585"/>
      <c r="I4" s="550"/>
      <c r="J4" s="253" t="s">
        <v>63</v>
      </c>
      <c r="K4" s="252" t="s">
        <v>26</v>
      </c>
      <c r="L4" s="551"/>
      <c r="M4" s="544" t="s">
        <v>6</v>
      </c>
      <c r="N4" s="590"/>
      <c r="O4" s="591" t="s">
        <v>15</v>
      </c>
      <c r="P4" s="549"/>
      <c r="Q4" s="591" t="s">
        <v>7</v>
      </c>
      <c r="R4" s="549"/>
      <c r="S4" s="550" t="s">
        <v>25</v>
      </c>
      <c r="T4" s="551"/>
      <c r="U4" s="591" t="s">
        <v>34</v>
      </c>
      <c r="V4" s="549"/>
      <c r="W4" s="591" t="s">
        <v>9</v>
      </c>
      <c r="X4" s="549"/>
      <c r="Y4" s="544" t="s">
        <v>10</v>
      </c>
      <c r="Z4" s="549"/>
      <c r="AA4" s="544" t="s">
        <v>11</v>
      </c>
      <c r="AB4" s="549"/>
      <c r="AC4" s="544" t="s">
        <v>24</v>
      </c>
      <c r="AD4" s="549"/>
      <c r="AE4" s="544" t="s">
        <v>12</v>
      </c>
      <c r="AF4" s="549"/>
      <c r="AG4" s="123"/>
      <c r="AH4" s="123"/>
      <c r="AI4" s="123"/>
    </row>
    <row r="5" spans="1:34" ht="16.5" customHeight="1" thickBot="1" thickTop="1">
      <c r="A5" s="521"/>
      <c r="B5" s="522"/>
      <c r="C5" s="528"/>
      <c r="D5" s="567" t="s">
        <v>70</v>
      </c>
      <c r="E5" s="567"/>
      <c r="F5" s="567"/>
      <c r="G5" s="568"/>
      <c r="H5" s="522"/>
      <c r="I5" s="522"/>
      <c r="J5" s="522"/>
      <c r="K5" s="522"/>
      <c r="L5" s="528"/>
      <c r="M5" s="63" t="s">
        <v>13</v>
      </c>
      <c r="N5" s="65" t="s">
        <v>14</v>
      </c>
      <c r="O5" s="120" t="s">
        <v>13</v>
      </c>
      <c r="P5" s="246" t="s">
        <v>14</v>
      </c>
      <c r="Q5" s="63" t="s">
        <v>13</v>
      </c>
      <c r="R5" s="246" t="s">
        <v>14</v>
      </c>
      <c r="S5" s="248" t="s">
        <v>13</v>
      </c>
      <c r="T5" s="65" t="s">
        <v>14</v>
      </c>
      <c r="U5" s="63" t="s">
        <v>13</v>
      </c>
      <c r="V5" s="65" t="s">
        <v>14</v>
      </c>
      <c r="W5" s="120" t="s">
        <v>13</v>
      </c>
      <c r="X5" s="65" t="s">
        <v>14</v>
      </c>
      <c r="Y5" s="120" t="s">
        <v>13</v>
      </c>
      <c r="Z5" s="65" t="s">
        <v>14</v>
      </c>
      <c r="AA5" s="120" t="s">
        <v>13</v>
      </c>
      <c r="AB5" s="65" t="s">
        <v>14</v>
      </c>
      <c r="AC5" s="120" t="s">
        <v>13</v>
      </c>
      <c r="AD5" s="65" t="s">
        <v>14</v>
      </c>
      <c r="AE5" s="120" t="s">
        <v>13</v>
      </c>
      <c r="AF5" s="65" t="s">
        <v>14</v>
      </c>
      <c r="AG5" s="37"/>
      <c r="AH5" s="76"/>
    </row>
    <row r="6" spans="1:33" ht="21.75" customHeight="1" thickTop="1">
      <c r="A6" s="194">
        <v>1</v>
      </c>
      <c r="B6" s="220">
        <v>802</v>
      </c>
      <c r="C6" s="267">
        <v>98</v>
      </c>
      <c r="D6" s="180">
        <v>32</v>
      </c>
      <c r="E6" s="130">
        <v>45</v>
      </c>
      <c r="F6" s="129">
        <v>268</v>
      </c>
      <c r="G6" s="176">
        <v>63</v>
      </c>
      <c r="H6" s="131">
        <v>9</v>
      </c>
      <c r="I6" s="130">
        <v>32</v>
      </c>
      <c r="J6" s="138" t="s">
        <v>66</v>
      </c>
      <c r="K6" s="130">
        <v>2</v>
      </c>
      <c r="L6" s="183" t="s">
        <v>66</v>
      </c>
      <c r="M6" s="131">
        <v>51</v>
      </c>
      <c r="N6" s="136">
        <v>15</v>
      </c>
      <c r="O6" s="131">
        <v>21</v>
      </c>
      <c r="P6" s="183">
        <v>9</v>
      </c>
      <c r="Q6" s="262" t="s">
        <v>16</v>
      </c>
      <c r="R6" s="254" t="s">
        <v>16</v>
      </c>
      <c r="S6" s="249">
        <v>133</v>
      </c>
      <c r="T6" s="136">
        <v>174</v>
      </c>
      <c r="U6" s="131">
        <v>6</v>
      </c>
      <c r="V6" s="130">
        <v>6</v>
      </c>
      <c r="W6" s="130">
        <v>4</v>
      </c>
      <c r="X6" s="130">
        <v>7</v>
      </c>
      <c r="Y6" s="138" t="s">
        <v>66</v>
      </c>
      <c r="Z6" s="136">
        <v>2</v>
      </c>
      <c r="AA6" s="131">
        <v>87</v>
      </c>
      <c r="AB6" s="136">
        <v>142</v>
      </c>
      <c r="AC6" s="131" t="s">
        <v>66</v>
      </c>
      <c r="AD6" s="136">
        <v>5</v>
      </c>
      <c r="AE6" s="131">
        <v>2</v>
      </c>
      <c r="AF6" s="136">
        <v>1</v>
      </c>
      <c r="AG6" s="37"/>
    </row>
    <row r="7" spans="1:33" ht="21.75" customHeight="1">
      <c r="A7" s="195">
        <v>2</v>
      </c>
      <c r="B7" s="220">
        <v>1046</v>
      </c>
      <c r="C7" s="222">
        <v>145</v>
      </c>
      <c r="D7" s="181">
        <v>42</v>
      </c>
      <c r="E7" s="138">
        <v>40</v>
      </c>
      <c r="F7" s="137">
        <v>262</v>
      </c>
      <c r="G7" s="178">
        <v>62</v>
      </c>
      <c r="H7" s="139">
        <v>6</v>
      </c>
      <c r="I7" s="138">
        <v>30</v>
      </c>
      <c r="J7" s="138" t="s">
        <v>66</v>
      </c>
      <c r="K7" s="138">
        <v>4</v>
      </c>
      <c r="L7" s="140">
        <v>2</v>
      </c>
      <c r="M7" s="139">
        <v>44</v>
      </c>
      <c r="N7" s="144">
        <v>12</v>
      </c>
      <c r="O7" s="139">
        <v>17</v>
      </c>
      <c r="P7" s="144">
        <v>7</v>
      </c>
      <c r="Q7" s="263" t="s">
        <v>27</v>
      </c>
      <c r="R7" s="142" t="s">
        <v>16</v>
      </c>
      <c r="S7" s="143">
        <v>49</v>
      </c>
      <c r="T7" s="144">
        <v>204</v>
      </c>
      <c r="U7" s="139">
        <v>5</v>
      </c>
      <c r="V7" s="138">
        <v>10</v>
      </c>
      <c r="W7" s="138">
        <v>5</v>
      </c>
      <c r="X7" s="138">
        <v>3</v>
      </c>
      <c r="Y7" s="138" t="s">
        <v>66</v>
      </c>
      <c r="Z7" s="144">
        <v>2</v>
      </c>
      <c r="AA7" s="139">
        <v>79</v>
      </c>
      <c r="AB7" s="144">
        <v>108</v>
      </c>
      <c r="AC7" s="131" t="s">
        <v>66</v>
      </c>
      <c r="AD7" s="136">
        <v>2</v>
      </c>
      <c r="AE7" s="131">
        <v>2</v>
      </c>
      <c r="AF7" s="136" t="s">
        <v>66</v>
      </c>
      <c r="AG7" s="37"/>
    </row>
    <row r="8" spans="1:34" ht="21.75" customHeight="1">
      <c r="A8" s="196">
        <v>3</v>
      </c>
      <c r="B8" s="221" t="s">
        <v>16</v>
      </c>
      <c r="C8" s="223">
        <v>201</v>
      </c>
      <c r="D8" s="182">
        <v>12</v>
      </c>
      <c r="E8" s="146">
        <v>5</v>
      </c>
      <c r="F8" s="145">
        <v>267</v>
      </c>
      <c r="G8" s="237">
        <v>63</v>
      </c>
      <c r="H8" s="147">
        <v>1</v>
      </c>
      <c r="I8" s="239" t="s">
        <v>66</v>
      </c>
      <c r="J8" s="146" t="s">
        <v>66</v>
      </c>
      <c r="K8" s="146">
        <v>1</v>
      </c>
      <c r="L8" s="148">
        <v>1</v>
      </c>
      <c r="M8" s="147">
        <v>9</v>
      </c>
      <c r="N8" s="150">
        <v>4</v>
      </c>
      <c r="O8" s="146" t="s">
        <v>66</v>
      </c>
      <c r="P8" s="146" t="s">
        <v>66</v>
      </c>
      <c r="Q8" s="264" t="s">
        <v>16</v>
      </c>
      <c r="R8" s="210" t="s">
        <v>16</v>
      </c>
      <c r="S8" s="147" t="s">
        <v>66</v>
      </c>
      <c r="T8" s="150">
        <v>48</v>
      </c>
      <c r="U8" s="146" t="s">
        <v>66</v>
      </c>
      <c r="V8" s="146" t="s">
        <v>66</v>
      </c>
      <c r="W8" s="146" t="s">
        <v>66</v>
      </c>
      <c r="X8" s="146" t="s">
        <v>66</v>
      </c>
      <c r="Y8" s="146" t="s">
        <v>66</v>
      </c>
      <c r="Z8" s="150" t="s">
        <v>66</v>
      </c>
      <c r="AA8" s="207" t="s">
        <v>66</v>
      </c>
      <c r="AB8" s="186" t="s">
        <v>66</v>
      </c>
      <c r="AC8" s="207" t="s">
        <v>66</v>
      </c>
      <c r="AD8" s="186" t="s">
        <v>66</v>
      </c>
      <c r="AE8" s="207" t="s">
        <v>66</v>
      </c>
      <c r="AF8" s="186" t="s">
        <v>66</v>
      </c>
      <c r="AG8" s="76"/>
      <c r="AH8" s="37"/>
    </row>
    <row r="9" spans="1:34" ht="21.75" customHeight="1">
      <c r="A9" s="195">
        <v>4</v>
      </c>
      <c r="B9" s="220">
        <v>1457</v>
      </c>
      <c r="C9" s="222">
        <v>135</v>
      </c>
      <c r="D9" s="181">
        <v>63</v>
      </c>
      <c r="E9" s="138">
        <v>59</v>
      </c>
      <c r="F9" s="137">
        <v>268</v>
      </c>
      <c r="G9" s="178">
        <v>63</v>
      </c>
      <c r="H9" s="139">
        <v>11</v>
      </c>
      <c r="I9" s="138">
        <v>34</v>
      </c>
      <c r="J9" s="138">
        <v>1</v>
      </c>
      <c r="K9" s="138">
        <v>2</v>
      </c>
      <c r="L9" s="140">
        <v>1</v>
      </c>
      <c r="M9" s="139">
        <v>76</v>
      </c>
      <c r="N9" s="144">
        <v>16</v>
      </c>
      <c r="O9" s="139">
        <v>17</v>
      </c>
      <c r="P9" s="144">
        <v>7</v>
      </c>
      <c r="Q9" s="265" t="s">
        <v>16</v>
      </c>
      <c r="R9" s="134" t="s">
        <v>16</v>
      </c>
      <c r="S9" s="143">
        <v>88</v>
      </c>
      <c r="T9" s="144">
        <v>246</v>
      </c>
      <c r="U9" s="139">
        <v>5</v>
      </c>
      <c r="V9" s="138">
        <v>3</v>
      </c>
      <c r="W9" s="138">
        <v>7</v>
      </c>
      <c r="X9" s="138">
        <v>8</v>
      </c>
      <c r="Y9" s="138" t="s">
        <v>66</v>
      </c>
      <c r="Z9" s="144" t="s">
        <v>66</v>
      </c>
      <c r="AA9" s="139">
        <v>98</v>
      </c>
      <c r="AB9" s="144">
        <v>190</v>
      </c>
      <c r="AC9" s="131">
        <v>4</v>
      </c>
      <c r="AD9" s="136">
        <v>5</v>
      </c>
      <c r="AE9" s="131">
        <v>1</v>
      </c>
      <c r="AF9" s="136" t="s">
        <v>66</v>
      </c>
      <c r="AH9" s="37"/>
    </row>
    <row r="10" spans="1:34" ht="21.75" customHeight="1">
      <c r="A10" s="195">
        <v>5</v>
      </c>
      <c r="B10" s="220">
        <v>1110</v>
      </c>
      <c r="C10" s="222">
        <v>117</v>
      </c>
      <c r="D10" s="181">
        <v>63</v>
      </c>
      <c r="E10" s="138">
        <v>14</v>
      </c>
      <c r="F10" s="137">
        <v>312</v>
      </c>
      <c r="G10" s="178">
        <v>73</v>
      </c>
      <c r="H10" s="139">
        <v>15</v>
      </c>
      <c r="I10" s="138">
        <v>23</v>
      </c>
      <c r="J10" s="138" t="s">
        <v>66</v>
      </c>
      <c r="K10" s="138">
        <v>4</v>
      </c>
      <c r="L10" s="140">
        <v>1</v>
      </c>
      <c r="M10" s="139">
        <v>44</v>
      </c>
      <c r="N10" s="144">
        <v>13</v>
      </c>
      <c r="O10" s="139">
        <v>23</v>
      </c>
      <c r="P10" s="144">
        <v>3</v>
      </c>
      <c r="Q10" s="265" t="s">
        <v>16</v>
      </c>
      <c r="R10" s="134" t="s">
        <v>16</v>
      </c>
      <c r="S10" s="143">
        <v>129</v>
      </c>
      <c r="T10" s="144">
        <v>268</v>
      </c>
      <c r="U10" s="139">
        <v>7</v>
      </c>
      <c r="V10" s="138">
        <v>7</v>
      </c>
      <c r="W10" s="138">
        <v>6</v>
      </c>
      <c r="X10" s="138">
        <v>8</v>
      </c>
      <c r="Y10" s="138" t="s">
        <v>66</v>
      </c>
      <c r="Z10" s="144" t="s">
        <v>66</v>
      </c>
      <c r="AA10" s="139">
        <v>124</v>
      </c>
      <c r="AB10" s="144">
        <v>227</v>
      </c>
      <c r="AC10" s="131" t="s">
        <v>66</v>
      </c>
      <c r="AD10" s="136" t="s">
        <v>66</v>
      </c>
      <c r="AE10" s="131">
        <v>3</v>
      </c>
      <c r="AF10" s="136" t="s">
        <v>66</v>
      </c>
      <c r="AH10" s="37"/>
    </row>
    <row r="11" spans="1:34" ht="21.75" customHeight="1">
      <c r="A11" s="195">
        <v>6</v>
      </c>
      <c r="B11" s="220">
        <v>1059</v>
      </c>
      <c r="C11" s="222">
        <v>147</v>
      </c>
      <c r="D11" s="181">
        <v>46</v>
      </c>
      <c r="E11" s="138">
        <v>40</v>
      </c>
      <c r="F11" s="137">
        <v>311</v>
      </c>
      <c r="G11" s="178">
        <v>73</v>
      </c>
      <c r="H11" s="139">
        <v>9</v>
      </c>
      <c r="I11" s="138">
        <v>28</v>
      </c>
      <c r="J11" s="138">
        <v>3</v>
      </c>
      <c r="K11" s="138">
        <v>7</v>
      </c>
      <c r="L11" s="144" t="s">
        <v>66</v>
      </c>
      <c r="M11" s="139">
        <v>54</v>
      </c>
      <c r="N11" s="144">
        <v>12</v>
      </c>
      <c r="O11" s="139">
        <v>22</v>
      </c>
      <c r="P11" s="144">
        <v>5</v>
      </c>
      <c r="Q11" s="265" t="s">
        <v>16</v>
      </c>
      <c r="R11" s="134" t="s">
        <v>16</v>
      </c>
      <c r="S11" s="143">
        <v>195</v>
      </c>
      <c r="T11" s="144">
        <v>254</v>
      </c>
      <c r="U11" s="139">
        <v>13</v>
      </c>
      <c r="V11" s="138">
        <v>13</v>
      </c>
      <c r="W11" s="138">
        <v>4</v>
      </c>
      <c r="X11" s="138">
        <v>8</v>
      </c>
      <c r="Y11" s="138">
        <v>2</v>
      </c>
      <c r="Z11" s="144">
        <v>1</v>
      </c>
      <c r="AA11" s="139">
        <v>287</v>
      </c>
      <c r="AB11" s="144">
        <v>303</v>
      </c>
      <c r="AC11" s="131" t="s">
        <v>66</v>
      </c>
      <c r="AD11" s="136">
        <v>3</v>
      </c>
      <c r="AE11" s="131">
        <v>2</v>
      </c>
      <c r="AF11" s="136" t="s">
        <v>66</v>
      </c>
      <c r="AH11" s="37"/>
    </row>
    <row r="12" spans="1:34" ht="21.75" customHeight="1">
      <c r="A12" s="195">
        <v>7</v>
      </c>
      <c r="B12" s="220">
        <v>1174</v>
      </c>
      <c r="C12" s="222">
        <v>140</v>
      </c>
      <c r="D12" s="181">
        <v>36</v>
      </c>
      <c r="E12" s="138">
        <v>57</v>
      </c>
      <c r="F12" s="137">
        <v>288</v>
      </c>
      <c r="G12" s="178">
        <v>68</v>
      </c>
      <c r="H12" s="139">
        <v>12</v>
      </c>
      <c r="I12" s="138">
        <v>19</v>
      </c>
      <c r="J12" s="138">
        <v>1</v>
      </c>
      <c r="K12" s="138">
        <v>1</v>
      </c>
      <c r="L12" s="140">
        <v>1</v>
      </c>
      <c r="M12" s="151">
        <v>61</v>
      </c>
      <c r="N12" s="247">
        <v>12</v>
      </c>
      <c r="O12" s="139">
        <v>18</v>
      </c>
      <c r="P12" s="144">
        <v>10</v>
      </c>
      <c r="Q12" s="263" t="s">
        <v>27</v>
      </c>
      <c r="R12" s="134" t="s">
        <v>16</v>
      </c>
      <c r="S12" s="143">
        <v>145</v>
      </c>
      <c r="T12" s="144">
        <v>245</v>
      </c>
      <c r="U12" s="139">
        <v>8</v>
      </c>
      <c r="V12" s="138">
        <v>3</v>
      </c>
      <c r="W12" s="138">
        <v>9</v>
      </c>
      <c r="X12" s="138">
        <v>7</v>
      </c>
      <c r="Y12" s="138">
        <v>4</v>
      </c>
      <c r="Z12" s="144">
        <v>4</v>
      </c>
      <c r="AA12" s="139">
        <v>153</v>
      </c>
      <c r="AB12" s="144">
        <v>154</v>
      </c>
      <c r="AC12" s="131">
        <v>1</v>
      </c>
      <c r="AD12" s="136">
        <v>6</v>
      </c>
      <c r="AE12" s="131">
        <v>2</v>
      </c>
      <c r="AF12" s="136" t="s">
        <v>66</v>
      </c>
      <c r="AH12" s="37"/>
    </row>
    <row r="13" spans="1:34" ht="21.75" customHeight="1">
      <c r="A13" s="195">
        <v>8</v>
      </c>
      <c r="B13" s="220">
        <v>774</v>
      </c>
      <c r="C13" s="222">
        <v>131</v>
      </c>
      <c r="D13" s="181">
        <v>45</v>
      </c>
      <c r="E13" s="138">
        <v>40</v>
      </c>
      <c r="F13" s="137">
        <v>286</v>
      </c>
      <c r="G13" s="178">
        <v>67</v>
      </c>
      <c r="H13" s="139">
        <v>8</v>
      </c>
      <c r="I13" s="138">
        <v>19</v>
      </c>
      <c r="J13" s="138" t="s">
        <v>66</v>
      </c>
      <c r="K13" s="138">
        <v>5</v>
      </c>
      <c r="L13" s="140">
        <v>2</v>
      </c>
      <c r="M13" s="139">
        <v>37</v>
      </c>
      <c r="N13" s="144">
        <v>9</v>
      </c>
      <c r="O13" s="139">
        <v>14</v>
      </c>
      <c r="P13" s="144">
        <v>11</v>
      </c>
      <c r="Q13" s="265" t="s">
        <v>27</v>
      </c>
      <c r="R13" s="134" t="s">
        <v>16</v>
      </c>
      <c r="S13" s="143">
        <v>122</v>
      </c>
      <c r="T13" s="144">
        <v>178</v>
      </c>
      <c r="U13" s="139">
        <v>6</v>
      </c>
      <c r="V13" s="138">
        <v>5</v>
      </c>
      <c r="W13" s="138">
        <v>10</v>
      </c>
      <c r="X13" s="138">
        <v>3</v>
      </c>
      <c r="Y13" s="138">
        <v>1</v>
      </c>
      <c r="Z13" s="144"/>
      <c r="AA13" s="139">
        <v>88</v>
      </c>
      <c r="AB13" s="144">
        <v>120</v>
      </c>
      <c r="AC13" s="131">
        <v>1</v>
      </c>
      <c r="AD13" s="136">
        <v>4</v>
      </c>
      <c r="AE13" s="131" t="s">
        <v>66</v>
      </c>
      <c r="AF13" s="136" t="s">
        <v>66</v>
      </c>
      <c r="AH13" s="37"/>
    </row>
    <row r="14" spans="1:34" ht="21.75" customHeight="1">
      <c r="A14" s="195">
        <v>9</v>
      </c>
      <c r="B14" s="220">
        <v>1234</v>
      </c>
      <c r="C14" s="222">
        <v>164</v>
      </c>
      <c r="D14" s="181">
        <v>41</v>
      </c>
      <c r="E14" s="138">
        <v>49</v>
      </c>
      <c r="F14" s="137">
        <v>274</v>
      </c>
      <c r="G14" s="178">
        <v>64</v>
      </c>
      <c r="H14" s="139">
        <v>8</v>
      </c>
      <c r="I14" s="138">
        <v>31</v>
      </c>
      <c r="J14" s="138" t="s">
        <v>66</v>
      </c>
      <c r="K14" s="138">
        <v>2</v>
      </c>
      <c r="L14" s="140">
        <v>2</v>
      </c>
      <c r="M14" s="139">
        <v>46</v>
      </c>
      <c r="N14" s="144">
        <v>10</v>
      </c>
      <c r="O14" s="139">
        <v>22</v>
      </c>
      <c r="P14" s="144">
        <v>8</v>
      </c>
      <c r="Q14" s="265" t="s">
        <v>16</v>
      </c>
      <c r="R14" s="134" t="s">
        <v>16</v>
      </c>
      <c r="S14" s="143">
        <v>91</v>
      </c>
      <c r="T14" s="144">
        <v>191</v>
      </c>
      <c r="U14" s="139">
        <v>10</v>
      </c>
      <c r="V14" s="138">
        <v>4</v>
      </c>
      <c r="W14" s="138">
        <v>5</v>
      </c>
      <c r="X14" s="138">
        <v>5</v>
      </c>
      <c r="Y14" s="138">
        <v>3</v>
      </c>
      <c r="Z14" s="144">
        <v>1</v>
      </c>
      <c r="AA14" s="139">
        <v>102</v>
      </c>
      <c r="AB14" s="144">
        <v>126</v>
      </c>
      <c r="AC14" s="131" t="s">
        <v>66</v>
      </c>
      <c r="AD14" s="136" t="s">
        <v>66</v>
      </c>
      <c r="AE14" s="131">
        <v>2</v>
      </c>
      <c r="AF14" s="136" t="s">
        <v>66</v>
      </c>
      <c r="AH14" s="37"/>
    </row>
    <row r="15" spans="1:34" ht="21.75" customHeight="1">
      <c r="A15" s="196">
        <v>10</v>
      </c>
      <c r="B15" s="221" t="s">
        <v>16</v>
      </c>
      <c r="C15" s="223">
        <v>177</v>
      </c>
      <c r="D15" s="182">
        <v>7</v>
      </c>
      <c r="E15" s="146">
        <v>5</v>
      </c>
      <c r="F15" s="145">
        <v>275</v>
      </c>
      <c r="G15" s="237">
        <v>65</v>
      </c>
      <c r="H15" s="146" t="s">
        <v>66</v>
      </c>
      <c r="I15" s="239" t="s">
        <v>66</v>
      </c>
      <c r="J15" s="146" t="s">
        <v>66</v>
      </c>
      <c r="K15" s="146">
        <v>1</v>
      </c>
      <c r="L15" s="255" t="s">
        <v>66</v>
      </c>
      <c r="M15" s="147">
        <v>5</v>
      </c>
      <c r="N15" s="150">
        <v>2</v>
      </c>
      <c r="O15" s="146" t="s">
        <v>66</v>
      </c>
      <c r="P15" s="146" t="s">
        <v>66</v>
      </c>
      <c r="Q15" s="264" t="s">
        <v>16</v>
      </c>
      <c r="R15" s="210" t="s">
        <v>16</v>
      </c>
      <c r="S15" s="147" t="s">
        <v>66</v>
      </c>
      <c r="T15" s="150">
        <v>60</v>
      </c>
      <c r="U15" s="146" t="s">
        <v>66</v>
      </c>
      <c r="V15" s="146" t="s">
        <v>66</v>
      </c>
      <c r="W15" s="146" t="s">
        <v>66</v>
      </c>
      <c r="X15" s="146" t="s">
        <v>66</v>
      </c>
      <c r="Y15" s="146" t="s">
        <v>66</v>
      </c>
      <c r="Z15" s="150" t="s">
        <v>66</v>
      </c>
      <c r="AA15" s="207" t="s">
        <v>66</v>
      </c>
      <c r="AB15" s="186" t="s">
        <v>66</v>
      </c>
      <c r="AC15" s="207" t="s">
        <v>66</v>
      </c>
      <c r="AD15" s="186" t="s">
        <v>66</v>
      </c>
      <c r="AE15" s="207" t="s">
        <v>66</v>
      </c>
      <c r="AF15" s="186" t="s">
        <v>66</v>
      </c>
      <c r="AH15" s="37"/>
    </row>
    <row r="16" spans="1:34" ht="21.75" customHeight="1">
      <c r="A16" s="195">
        <v>11</v>
      </c>
      <c r="B16" s="220">
        <v>1334</v>
      </c>
      <c r="C16" s="222">
        <v>150</v>
      </c>
      <c r="D16" s="181">
        <v>51</v>
      </c>
      <c r="E16" s="138">
        <v>54</v>
      </c>
      <c r="F16" s="137">
        <v>272</v>
      </c>
      <c r="G16" s="178">
        <v>64</v>
      </c>
      <c r="H16" s="139">
        <v>8</v>
      </c>
      <c r="I16" s="138">
        <v>18</v>
      </c>
      <c r="J16" s="138">
        <v>2</v>
      </c>
      <c r="K16" s="138" t="s">
        <v>66</v>
      </c>
      <c r="L16" s="144" t="s">
        <v>66</v>
      </c>
      <c r="M16" s="139">
        <v>73</v>
      </c>
      <c r="N16" s="144">
        <v>14</v>
      </c>
      <c r="O16" s="139">
        <v>24</v>
      </c>
      <c r="P16" s="144">
        <v>6</v>
      </c>
      <c r="Q16" s="265" t="s">
        <v>16</v>
      </c>
      <c r="R16" s="134" t="s">
        <v>16</v>
      </c>
      <c r="S16" s="143">
        <v>136</v>
      </c>
      <c r="T16" s="144">
        <v>228</v>
      </c>
      <c r="U16" s="139">
        <v>8</v>
      </c>
      <c r="V16" s="138">
        <v>2</v>
      </c>
      <c r="W16" s="138">
        <v>9</v>
      </c>
      <c r="X16" s="138">
        <v>5</v>
      </c>
      <c r="Y16" s="138">
        <v>2</v>
      </c>
      <c r="Z16" s="144">
        <v>1</v>
      </c>
      <c r="AA16" s="139">
        <v>122</v>
      </c>
      <c r="AB16" s="144">
        <v>190</v>
      </c>
      <c r="AC16" s="131" t="s">
        <v>66</v>
      </c>
      <c r="AD16" s="136">
        <v>11</v>
      </c>
      <c r="AE16" s="131">
        <v>3</v>
      </c>
      <c r="AF16" s="136" t="s">
        <v>66</v>
      </c>
      <c r="AH16" s="37"/>
    </row>
    <row r="17" spans="1:34" ht="21.75" customHeight="1">
      <c r="A17" s="195">
        <v>12</v>
      </c>
      <c r="B17" s="220">
        <v>1130</v>
      </c>
      <c r="C17" s="222">
        <v>151</v>
      </c>
      <c r="D17" s="181">
        <v>43</v>
      </c>
      <c r="E17" s="138">
        <v>32</v>
      </c>
      <c r="F17" s="137">
        <v>278</v>
      </c>
      <c r="G17" s="178">
        <v>65</v>
      </c>
      <c r="H17" s="139">
        <v>13</v>
      </c>
      <c r="I17" s="138">
        <v>25</v>
      </c>
      <c r="J17" s="138" t="s">
        <v>66</v>
      </c>
      <c r="K17" s="138">
        <v>5</v>
      </c>
      <c r="L17" s="144" t="s">
        <v>66</v>
      </c>
      <c r="M17" s="139">
        <v>60</v>
      </c>
      <c r="N17" s="144">
        <v>13</v>
      </c>
      <c r="O17" s="139">
        <v>27</v>
      </c>
      <c r="P17" s="144">
        <v>6</v>
      </c>
      <c r="Q17" s="265" t="s">
        <v>16</v>
      </c>
      <c r="R17" s="134" t="s">
        <v>16</v>
      </c>
      <c r="S17" s="143">
        <v>169</v>
      </c>
      <c r="T17" s="144">
        <v>313</v>
      </c>
      <c r="U17" s="139">
        <v>9</v>
      </c>
      <c r="V17" s="138">
        <v>1</v>
      </c>
      <c r="W17" s="138">
        <v>9</v>
      </c>
      <c r="X17" s="138">
        <v>4</v>
      </c>
      <c r="Y17" s="138">
        <v>2</v>
      </c>
      <c r="Z17" s="144">
        <v>4</v>
      </c>
      <c r="AA17" s="139">
        <v>98</v>
      </c>
      <c r="AB17" s="144">
        <v>179</v>
      </c>
      <c r="AC17" s="131" t="s">
        <v>66</v>
      </c>
      <c r="AD17" s="136" t="s">
        <v>66</v>
      </c>
      <c r="AE17" s="131" t="s">
        <v>66</v>
      </c>
      <c r="AF17" s="136" t="s">
        <v>66</v>
      </c>
      <c r="AH17" s="37"/>
    </row>
    <row r="18" spans="1:36" ht="21.75" customHeight="1">
      <c r="A18" s="195">
        <v>13</v>
      </c>
      <c r="B18" s="220">
        <v>1066</v>
      </c>
      <c r="C18" s="222">
        <v>150</v>
      </c>
      <c r="D18" s="181">
        <v>50</v>
      </c>
      <c r="E18" s="138">
        <v>33</v>
      </c>
      <c r="F18" s="137">
        <v>284</v>
      </c>
      <c r="G18" s="178">
        <v>67</v>
      </c>
      <c r="H18" s="139">
        <v>13</v>
      </c>
      <c r="I18" s="138">
        <v>25</v>
      </c>
      <c r="J18" s="138">
        <v>5</v>
      </c>
      <c r="K18" s="138">
        <v>6</v>
      </c>
      <c r="L18" s="140">
        <v>5</v>
      </c>
      <c r="M18" s="139">
        <v>52</v>
      </c>
      <c r="N18" s="144">
        <v>23</v>
      </c>
      <c r="O18" s="139">
        <v>23</v>
      </c>
      <c r="P18" s="144">
        <v>4</v>
      </c>
      <c r="Q18" s="265" t="s">
        <v>16</v>
      </c>
      <c r="R18" s="134" t="s">
        <v>16</v>
      </c>
      <c r="S18" s="143">
        <v>150</v>
      </c>
      <c r="T18" s="144">
        <v>300</v>
      </c>
      <c r="U18" s="139">
        <v>10</v>
      </c>
      <c r="V18" s="138">
        <v>4</v>
      </c>
      <c r="W18" s="138">
        <v>10</v>
      </c>
      <c r="X18" s="138">
        <v>9</v>
      </c>
      <c r="Y18" s="138">
        <v>4</v>
      </c>
      <c r="Z18" s="144" t="s">
        <v>66</v>
      </c>
      <c r="AA18" s="139">
        <v>128</v>
      </c>
      <c r="AB18" s="144">
        <v>162</v>
      </c>
      <c r="AC18" s="131">
        <v>3</v>
      </c>
      <c r="AD18" s="136">
        <v>4</v>
      </c>
      <c r="AE18" s="131">
        <v>4</v>
      </c>
      <c r="AF18" s="136">
        <v>1</v>
      </c>
      <c r="AH18" s="37"/>
      <c r="AJ18" s="76"/>
    </row>
    <row r="19" spans="1:36" ht="21.75" customHeight="1">
      <c r="A19" s="195">
        <v>14</v>
      </c>
      <c r="B19" s="220">
        <v>1182</v>
      </c>
      <c r="C19" s="222">
        <v>165</v>
      </c>
      <c r="D19" s="181">
        <v>52</v>
      </c>
      <c r="E19" s="138">
        <v>40</v>
      </c>
      <c r="F19" s="137">
        <v>294</v>
      </c>
      <c r="G19" s="178">
        <v>69</v>
      </c>
      <c r="H19" s="139">
        <v>11</v>
      </c>
      <c r="I19" s="138">
        <v>26</v>
      </c>
      <c r="J19" s="138" t="s">
        <v>66</v>
      </c>
      <c r="K19" s="138">
        <v>2</v>
      </c>
      <c r="L19" s="144" t="s">
        <v>66</v>
      </c>
      <c r="M19" s="139">
        <v>56</v>
      </c>
      <c r="N19" s="144">
        <v>13</v>
      </c>
      <c r="O19" s="139">
        <v>18</v>
      </c>
      <c r="P19" s="144">
        <v>10</v>
      </c>
      <c r="Q19" s="263" t="s">
        <v>16</v>
      </c>
      <c r="R19" s="134" t="s">
        <v>16</v>
      </c>
      <c r="S19" s="143">
        <v>164</v>
      </c>
      <c r="T19" s="144">
        <v>378</v>
      </c>
      <c r="U19" s="139">
        <v>15</v>
      </c>
      <c r="V19" s="138">
        <v>2</v>
      </c>
      <c r="W19" s="138">
        <v>11</v>
      </c>
      <c r="X19" s="138">
        <v>8</v>
      </c>
      <c r="Y19" s="138" t="s">
        <v>66</v>
      </c>
      <c r="Z19" s="144">
        <v>2</v>
      </c>
      <c r="AA19" s="139">
        <v>101</v>
      </c>
      <c r="AB19" s="144">
        <v>192</v>
      </c>
      <c r="AC19" s="131" t="s">
        <v>66</v>
      </c>
      <c r="AD19" s="136" t="s">
        <v>66</v>
      </c>
      <c r="AE19" s="131">
        <v>2</v>
      </c>
      <c r="AF19" s="136" t="s">
        <v>66</v>
      </c>
      <c r="AH19" s="37"/>
      <c r="AJ19" s="76"/>
    </row>
    <row r="20" spans="1:34" ht="21.75" customHeight="1">
      <c r="A20" s="195">
        <v>15</v>
      </c>
      <c r="B20" s="220">
        <v>843</v>
      </c>
      <c r="C20" s="222">
        <v>123</v>
      </c>
      <c r="D20" s="181">
        <v>36</v>
      </c>
      <c r="E20" s="138">
        <v>39</v>
      </c>
      <c r="F20" s="137">
        <v>287</v>
      </c>
      <c r="G20" s="178">
        <v>67</v>
      </c>
      <c r="H20" s="139">
        <v>11</v>
      </c>
      <c r="I20" s="138">
        <v>22</v>
      </c>
      <c r="J20" s="138" t="s">
        <v>66</v>
      </c>
      <c r="K20" s="138">
        <v>1</v>
      </c>
      <c r="L20" s="140">
        <v>3</v>
      </c>
      <c r="M20" s="139">
        <v>45</v>
      </c>
      <c r="N20" s="144">
        <v>14</v>
      </c>
      <c r="O20" s="139">
        <v>19</v>
      </c>
      <c r="P20" s="144">
        <v>6</v>
      </c>
      <c r="Q20" s="265" t="s">
        <v>16</v>
      </c>
      <c r="R20" s="134" t="s">
        <v>16</v>
      </c>
      <c r="S20" s="143">
        <v>125</v>
      </c>
      <c r="T20" s="144">
        <v>194</v>
      </c>
      <c r="U20" s="139">
        <v>10</v>
      </c>
      <c r="V20" s="138">
        <v>2</v>
      </c>
      <c r="W20" s="138">
        <v>8</v>
      </c>
      <c r="X20" s="138">
        <v>3</v>
      </c>
      <c r="Y20" s="138" t="s">
        <v>66</v>
      </c>
      <c r="Z20" s="144">
        <v>3</v>
      </c>
      <c r="AA20" s="139">
        <v>99</v>
      </c>
      <c r="AB20" s="144">
        <v>120</v>
      </c>
      <c r="AC20" s="131">
        <v>8</v>
      </c>
      <c r="AD20" s="136">
        <v>4</v>
      </c>
      <c r="AE20" s="131">
        <v>3</v>
      </c>
      <c r="AF20" s="136" t="s">
        <v>66</v>
      </c>
      <c r="AH20" s="37"/>
    </row>
    <row r="21" spans="1:34" ht="21.75" customHeight="1">
      <c r="A21" s="195">
        <v>16</v>
      </c>
      <c r="B21" s="220">
        <v>1167</v>
      </c>
      <c r="C21" s="222">
        <v>124</v>
      </c>
      <c r="D21" s="181">
        <v>39</v>
      </c>
      <c r="E21" s="138">
        <v>31</v>
      </c>
      <c r="F21" s="137">
        <v>291</v>
      </c>
      <c r="G21" s="178">
        <v>68</v>
      </c>
      <c r="H21" s="139">
        <v>4</v>
      </c>
      <c r="I21" s="138">
        <v>31</v>
      </c>
      <c r="J21" s="138" t="s">
        <v>66</v>
      </c>
      <c r="K21" s="138">
        <v>3</v>
      </c>
      <c r="L21" s="140">
        <v>1</v>
      </c>
      <c r="M21" s="139">
        <v>52</v>
      </c>
      <c r="N21" s="144">
        <v>7</v>
      </c>
      <c r="O21" s="139">
        <v>19</v>
      </c>
      <c r="P21" s="144">
        <v>6</v>
      </c>
      <c r="Q21" s="265" t="s">
        <v>16</v>
      </c>
      <c r="R21" s="134" t="s">
        <v>16</v>
      </c>
      <c r="S21" s="153">
        <v>114</v>
      </c>
      <c r="T21" s="144">
        <v>179</v>
      </c>
      <c r="U21" s="139">
        <v>4</v>
      </c>
      <c r="V21" s="138">
        <v>3</v>
      </c>
      <c r="W21" s="138">
        <v>1</v>
      </c>
      <c r="X21" s="138">
        <v>1</v>
      </c>
      <c r="Y21" s="138">
        <v>2</v>
      </c>
      <c r="Z21" s="144">
        <v>3</v>
      </c>
      <c r="AA21" s="139">
        <v>60</v>
      </c>
      <c r="AB21" s="144">
        <v>91</v>
      </c>
      <c r="AC21" s="131">
        <v>1</v>
      </c>
      <c r="AD21" s="136" t="s">
        <v>66</v>
      </c>
      <c r="AE21" s="131">
        <v>3</v>
      </c>
      <c r="AF21" s="136" t="s">
        <v>66</v>
      </c>
      <c r="AH21" s="37"/>
    </row>
    <row r="22" spans="1:34" ht="21.75" customHeight="1">
      <c r="A22" s="196">
        <v>17</v>
      </c>
      <c r="B22" s="221" t="s">
        <v>16</v>
      </c>
      <c r="C22" s="223">
        <v>164</v>
      </c>
      <c r="D22" s="182">
        <v>15</v>
      </c>
      <c r="E22" s="146">
        <v>11</v>
      </c>
      <c r="F22" s="145">
        <v>291</v>
      </c>
      <c r="G22" s="237">
        <v>68</v>
      </c>
      <c r="H22" s="146" t="s">
        <v>66</v>
      </c>
      <c r="I22" s="239" t="s">
        <v>66</v>
      </c>
      <c r="J22" s="146" t="s">
        <v>66</v>
      </c>
      <c r="K22" s="146">
        <v>4</v>
      </c>
      <c r="L22" s="255" t="s">
        <v>66</v>
      </c>
      <c r="M22" s="147">
        <v>6</v>
      </c>
      <c r="N22" s="150">
        <v>3</v>
      </c>
      <c r="O22" s="239" t="s">
        <v>66</v>
      </c>
      <c r="P22" s="146" t="s">
        <v>66</v>
      </c>
      <c r="Q22" s="264" t="s">
        <v>16</v>
      </c>
      <c r="R22" s="210" t="s">
        <v>16</v>
      </c>
      <c r="S22" s="147" t="s">
        <v>66</v>
      </c>
      <c r="T22" s="150">
        <v>63</v>
      </c>
      <c r="U22" s="146" t="s">
        <v>66</v>
      </c>
      <c r="V22" s="146" t="s">
        <v>66</v>
      </c>
      <c r="W22" s="146" t="s">
        <v>66</v>
      </c>
      <c r="X22" s="146" t="s">
        <v>66</v>
      </c>
      <c r="Y22" s="146" t="s">
        <v>66</v>
      </c>
      <c r="Z22" s="150" t="s">
        <v>66</v>
      </c>
      <c r="AA22" s="207" t="s">
        <v>66</v>
      </c>
      <c r="AB22" s="186" t="s">
        <v>66</v>
      </c>
      <c r="AC22" s="270" t="s">
        <v>66</v>
      </c>
      <c r="AD22" s="268" t="s">
        <v>66</v>
      </c>
      <c r="AE22" s="207" t="s">
        <v>66</v>
      </c>
      <c r="AF22" s="186" t="s">
        <v>66</v>
      </c>
      <c r="AH22" s="37"/>
    </row>
    <row r="23" spans="1:34" ht="21.75" customHeight="1">
      <c r="A23" s="195">
        <v>18</v>
      </c>
      <c r="B23" s="220">
        <v>1270</v>
      </c>
      <c r="C23" s="222">
        <v>152</v>
      </c>
      <c r="D23" s="181">
        <v>38</v>
      </c>
      <c r="E23" s="138">
        <v>50</v>
      </c>
      <c r="F23" s="137">
        <v>274</v>
      </c>
      <c r="G23" s="178">
        <v>64</v>
      </c>
      <c r="H23" s="139">
        <v>10</v>
      </c>
      <c r="I23" s="138">
        <v>27</v>
      </c>
      <c r="J23" s="138">
        <v>3</v>
      </c>
      <c r="K23" s="138">
        <v>4</v>
      </c>
      <c r="L23" s="140">
        <v>1</v>
      </c>
      <c r="M23" s="139">
        <v>47</v>
      </c>
      <c r="N23" s="144">
        <v>15</v>
      </c>
      <c r="O23" s="139">
        <v>17</v>
      </c>
      <c r="P23" s="144">
        <v>8</v>
      </c>
      <c r="Q23" s="265" t="s">
        <v>16</v>
      </c>
      <c r="R23" s="134" t="s">
        <v>16</v>
      </c>
      <c r="S23" s="143">
        <v>183</v>
      </c>
      <c r="T23" s="144">
        <v>192</v>
      </c>
      <c r="U23" s="139">
        <v>5</v>
      </c>
      <c r="V23" s="138">
        <v>7</v>
      </c>
      <c r="W23" s="138">
        <v>12</v>
      </c>
      <c r="X23" s="138">
        <v>10</v>
      </c>
      <c r="Y23" s="138" t="s">
        <v>66</v>
      </c>
      <c r="Z23" s="144">
        <v>3</v>
      </c>
      <c r="AA23" s="139">
        <v>160</v>
      </c>
      <c r="AB23" s="144">
        <v>139</v>
      </c>
      <c r="AC23" s="271" t="s">
        <v>66</v>
      </c>
      <c r="AD23" s="269">
        <v>4</v>
      </c>
      <c r="AE23" s="131">
        <v>3</v>
      </c>
      <c r="AF23" s="136" t="s">
        <v>66</v>
      </c>
      <c r="AH23" s="37"/>
    </row>
    <row r="24" spans="1:34" ht="21.75" customHeight="1">
      <c r="A24" s="195">
        <v>19</v>
      </c>
      <c r="B24" s="220">
        <v>1117</v>
      </c>
      <c r="C24" s="222">
        <v>128</v>
      </c>
      <c r="D24" s="181">
        <v>27</v>
      </c>
      <c r="E24" s="138">
        <v>21</v>
      </c>
      <c r="F24" s="137">
        <v>276</v>
      </c>
      <c r="G24" s="178">
        <v>65</v>
      </c>
      <c r="H24" s="139">
        <v>11</v>
      </c>
      <c r="I24" s="138">
        <v>22</v>
      </c>
      <c r="J24" s="138" t="s">
        <v>66</v>
      </c>
      <c r="K24" s="138">
        <v>4</v>
      </c>
      <c r="L24" s="144" t="s">
        <v>66</v>
      </c>
      <c r="M24" s="139">
        <v>59</v>
      </c>
      <c r="N24" s="144">
        <v>9</v>
      </c>
      <c r="O24" s="139">
        <v>20</v>
      </c>
      <c r="P24" s="144">
        <v>8</v>
      </c>
      <c r="Q24" s="265" t="s">
        <v>16</v>
      </c>
      <c r="R24" s="134" t="s">
        <v>16</v>
      </c>
      <c r="S24" s="143">
        <v>175</v>
      </c>
      <c r="T24" s="144">
        <v>174</v>
      </c>
      <c r="U24" s="139">
        <v>4</v>
      </c>
      <c r="V24" s="138">
        <v>11</v>
      </c>
      <c r="W24" s="138">
        <v>10</v>
      </c>
      <c r="X24" s="138">
        <v>3</v>
      </c>
      <c r="Y24" s="138">
        <v>1</v>
      </c>
      <c r="Z24" s="144" t="s">
        <v>66</v>
      </c>
      <c r="AA24" s="139">
        <v>124</v>
      </c>
      <c r="AB24" s="144">
        <v>109</v>
      </c>
      <c r="AC24" s="271" t="s">
        <v>66</v>
      </c>
      <c r="AD24" s="269" t="s">
        <v>66</v>
      </c>
      <c r="AE24" s="131">
        <v>3</v>
      </c>
      <c r="AF24" s="136" t="s">
        <v>66</v>
      </c>
      <c r="AH24" s="37"/>
    </row>
    <row r="25" spans="1:34" ht="21.75" customHeight="1">
      <c r="A25" s="195">
        <v>20</v>
      </c>
      <c r="B25" s="220">
        <v>1083</v>
      </c>
      <c r="C25" s="222">
        <v>130</v>
      </c>
      <c r="D25" s="181">
        <v>42</v>
      </c>
      <c r="E25" s="138">
        <v>43</v>
      </c>
      <c r="F25" s="137">
        <v>269</v>
      </c>
      <c r="G25" s="178">
        <v>63</v>
      </c>
      <c r="H25" s="139">
        <v>9</v>
      </c>
      <c r="I25" s="138">
        <v>26</v>
      </c>
      <c r="J25" s="138" t="s">
        <v>66</v>
      </c>
      <c r="K25" s="138">
        <v>3</v>
      </c>
      <c r="L25" s="140">
        <v>3</v>
      </c>
      <c r="M25" s="139">
        <v>47</v>
      </c>
      <c r="N25" s="144">
        <v>17</v>
      </c>
      <c r="O25" s="139">
        <v>26</v>
      </c>
      <c r="P25" s="144">
        <v>4</v>
      </c>
      <c r="Q25" s="265" t="s">
        <v>16</v>
      </c>
      <c r="R25" s="134" t="s">
        <v>16</v>
      </c>
      <c r="S25" s="143">
        <v>138</v>
      </c>
      <c r="T25" s="144">
        <v>240</v>
      </c>
      <c r="U25" s="139">
        <v>8</v>
      </c>
      <c r="V25" s="138">
        <v>7</v>
      </c>
      <c r="W25" s="138">
        <v>1</v>
      </c>
      <c r="X25" s="138">
        <v>10</v>
      </c>
      <c r="Y25" s="138">
        <v>1</v>
      </c>
      <c r="Z25" s="144">
        <v>2</v>
      </c>
      <c r="AA25" s="139">
        <v>100</v>
      </c>
      <c r="AB25" s="144">
        <v>138</v>
      </c>
      <c r="AC25" s="271">
        <v>4</v>
      </c>
      <c r="AD25" s="269">
        <v>2</v>
      </c>
      <c r="AE25" s="131">
        <v>3</v>
      </c>
      <c r="AF25" s="136" t="s">
        <v>66</v>
      </c>
      <c r="AH25" s="37"/>
    </row>
    <row r="26" spans="1:34" ht="21.75" customHeight="1">
      <c r="A26" s="195">
        <v>21</v>
      </c>
      <c r="B26" s="220">
        <v>1093</v>
      </c>
      <c r="C26" s="222">
        <v>112</v>
      </c>
      <c r="D26" s="181">
        <v>47</v>
      </c>
      <c r="E26" s="138">
        <v>37</v>
      </c>
      <c r="F26" s="137">
        <v>275</v>
      </c>
      <c r="G26" s="178">
        <v>64</v>
      </c>
      <c r="H26" s="139">
        <v>15</v>
      </c>
      <c r="I26" s="138">
        <v>19</v>
      </c>
      <c r="J26" s="138" t="s">
        <v>66</v>
      </c>
      <c r="K26" s="138">
        <v>3</v>
      </c>
      <c r="L26" s="140">
        <v>1</v>
      </c>
      <c r="M26" s="139">
        <v>54</v>
      </c>
      <c r="N26" s="144">
        <v>10</v>
      </c>
      <c r="O26" s="139">
        <v>17</v>
      </c>
      <c r="P26" s="144">
        <v>6</v>
      </c>
      <c r="Q26" s="263" t="s">
        <v>16</v>
      </c>
      <c r="R26" s="134" t="s">
        <v>16</v>
      </c>
      <c r="S26" s="143">
        <v>205</v>
      </c>
      <c r="T26" s="144">
        <v>244</v>
      </c>
      <c r="U26" s="139">
        <v>5</v>
      </c>
      <c r="V26" s="138">
        <v>9</v>
      </c>
      <c r="W26" s="138">
        <v>4</v>
      </c>
      <c r="X26" s="138">
        <v>4</v>
      </c>
      <c r="Y26" s="138" t="s">
        <v>66</v>
      </c>
      <c r="Z26" s="144">
        <v>3</v>
      </c>
      <c r="AA26" s="139">
        <v>141</v>
      </c>
      <c r="AB26" s="144">
        <v>180</v>
      </c>
      <c r="AC26" s="131"/>
      <c r="AD26" s="136">
        <v>4</v>
      </c>
      <c r="AE26" s="131">
        <v>2</v>
      </c>
      <c r="AF26" s="136" t="s">
        <v>66</v>
      </c>
      <c r="AH26" s="37"/>
    </row>
    <row r="27" spans="1:34" ht="21.75" customHeight="1">
      <c r="A27" s="195">
        <v>22</v>
      </c>
      <c r="B27" s="220">
        <v>874</v>
      </c>
      <c r="C27" s="222">
        <v>144</v>
      </c>
      <c r="D27" s="181">
        <v>43</v>
      </c>
      <c r="E27" s="138">
        <v>36</v>
      </c>
      <c r="F27" s="137">
        <v>277</v>
      </c>
      <c r="G27" s="178">
        <v>65</v>
      </c>
      <c r="H27" s="139">
        <v>10</v>
      </c>
      <c r="I27" s="138">
        <v>17</v>
      </c>
      <c r="J27" s="138" t="s">
        <v>66</v>
      </c>
      <c r="K27" s="138">
        <v>4</v>
      </c>
      <c r="L27" s="140">
        <v>2</v>
      </c>
      <c r="M27" s="139">
        <v>52</v>
      </c>
      <c r="N27" s="144">
        <v>10</v>
      </c>
      <c r="O27" s="139">
        <v>18</v>
      </c>
      <c r="P27" s="144">
        <v>12</v>
      </c>
      <c r="Q27" s="265" t="s">
        <v>16</v>
      </c>
      <c r="R27" s="134" t="s">
        <v>16</v>
      </c>
      <c r="S27" s="143">
        <v>84</v>
      </c>
      <c r="T27" s="144">
        <v>221</v>
      </c>
      <c r="U27" s="139">
        <v>2</v>
      </c>
      <c r="V27" s="138">
        <v>9</v>
      </c>
      <c r="W27" s="138">
        <v>2</v>
      </c>
      <c r="X27" s="138">
        <v>6</v>
      </c>
      <c r="Y27" s="138" t="s">
        <v>66</v>
      </c>
      <c r="Z27" s="144">
        <v>1</v>
      </c>
      <c r="AA27" s="139">
        <v>171</v>
      </c>
      <c r="AB27" s="144">
        <v>107</v>
      </c>
      <c r="AC27" s="131">
        <v>1</v>
      </c>
      <c r="AD27" s="136">
        <v>6</v>
      </c>
      <c r="AE27" s="131">
        <v>4</v>
      </c>
      <c r="AF27" s="136" t="s">
        <v>66</v>
      </c>
      <c r="AH27" s="37"/>
    </row>
    <row r="28" spans="1:34" ht="21.75" customHeight="1">
      <c r="A28" s="195">
        <v>23</v>
      </c>
      <c r="B28" s="220">
        <v>1263</v>
      </c>
      <c r="C28" s="222">
        <v>145</v>
      </c>
      <c r="D28" s="181">
        <v>38</v>
      </c>
      <c r="E28" s="138">
        <v>46</v>
      </c>
      <c r="F28" s="137">
        <v>264</v>
      </c>
      <c r="G28" s="178">
        <v>62</v>
      </c>
      <c r="H28" s="139">
        <v>2</v>
      </c>
      <c r="I28" s="138">
        <v>15</v>
      </c>
      <c r="J28" s="138" t="s">
        <v>66</v>
      </c>
      <c r="K28" s="138">
        <v>5</v>
      </c>
      <c r="L28" s="144" t="s">
        <v>66</v>
      </c>
      <c r="M28" s="139">
        <v>50</v>
      </c>
      <c r="N28" s="144">
        <v>12</v>
      </c>
      <c r="O28" s="139">
        <v>10</v>
      </c>
      <c r="P28" s="144">
        <v>16</v>
      </c>
      <c r="Q28" s="265" t="s">
        <v>16</v>
      </c>
      <c r="R28" s="134" t="s">
        <v>16</v>
      </c>
      <c r="S28" s="143">
        <v>61</v>
      </c>
      <c r="T28" s="144">
        <v>212</v>
      </c>
      <c r="U28" s="139">
        <v>5</v>
      </c>
      <c r="V28" s="138">
        <v>5</v>
      </c>
      <c r="W28" s="138">
        <v>3</v>
      </c>
      <c r="X28" s="138">
        <v>3</v>
      </c>
      <c r="Y28" s="138" t="s">
        <v>66</v>
      </c>
      <c r="Z28" s="144">
        <v>1</v>
      </c>
      <c r="AA28" s="139">
        <v>91</v>
      </c>
      <c r="AB28" s="144">
        <v>103</v>
      </c>
      <c r="AC28" s="131">
        <v>1</v>
      </c>
      <c r="AD28" s="136">
        <v>1</v>
      </c>
      <c r="AE28" s="131">
        <v>2</v>
      </c>
      <c r="AF28" s="136" t="s">
        <v>66</v>
      </c>
      <c r="AH28" s="37"/>
    </row>
    <row r="29" spans="1:34" ht="21.75" customHeight="1">
      <c r="A29" s="196">
        <v>24</v>
      </c>
      <c r="B29" s="223" t="s">
        <v>16</v>
      </c>
      <c r="C29" s="226">
        <v>196</v>
      </c>
      <c r="D29" s="182">
        <v>8</v>
      </c>
      <c r="E29" s="146">
        <v>7</v>
      </c>
      <c r="F29" s="145">
        <v>264</v>
      </c>
      <c r="G29" s="237">
        <v>62</v>
      </c>
      <c r="H29" s="146" t="s">
        <v>66</v>
      </c>
      <c r="I29" s="239" t="s">
        <v>66</v>
      </c>
      <c r="J29" s="146" t="s">
        <v>66</v>
      </c>
      <c r="K29" s="146">
        <v>1</v>
      </c>
      <c r="L29" s="255" t="s">
        <v>66</v>
      </c>
      <c r="M29" s="147">
        <v>10</v>
      </c>
      <c r="N29" s="150">
        <v>1</v>
      </c>
      <c r="O29" s="239" t="s">
        <v>66</v>
      </c>
      <c r="P29" s="146" t="s">
        <v>66</v>
      </c>
      <c r="Q29" s="264" t="s">
        <v>16</v>
      </c>
      <c r="R29" s="210" t="s">
        <v>16</v>
      </c>
      <c r="S29" s="147" t="s">
        <v>66</v>
      </c>
      <c r="T29" s="150">
        <v>48</v>
      </c>
      <c r="U29" s="146" t="s">
        <v>66</v>
      </c>
      <c r="V29" s="146" t="s">
        <v>66</v>
      </c>
      <c r="W29" s="146" t="s">
        <v>66</v>
      </c>
      <c r="X29" s="146" t="s">
        <v>66</v>
      </c>
      <c r="Y29" s="146" t="s">
        <v>66</v>
      </c>
      <c r="Z29" s="150" t="s">
        <v>66</v>
      </c>
      <c r="AA29" s="207" t="s">
        <v>66</v>
      </c>
      <c r="AB29" s="150">
        <v>26</v>
      </c>
      <c r="AC29" s="207" t="s">
        <v>66</v>
      </c>
      <c r="AD29" s="186" t="s">
        <v>66</v>
      </c>
      <c r="AE29" s="270" t="s">
        <v>66</v>
      </c>
      <c r="AF29" s="268" t="s">
        <v>66</v>
      </c>
      <c r="AH29" s="37"/>
    </row>
    <row r="30" spans="1:34" ht="21.75" customHeight="1">
      <c r="A30" s="195">
        <v>25</v>
      </c>
      <c r="B30" s="228">
        <v>1081</v>
      </c>
      <c r="C30" s="225">
        <v>159</v>
      </c>
      <c r="D30" s="181">
        <v>54</v>
      </c>
      <c r="E30" s="138">
        <v>32</v>
      </c>
      <c r="F30" s="137">
        <v>281</v>
      </c>
      <c r="G30" s="178">
        <v>66</v>
      </c>
      <c r="H30" s="139">
        <v>11</v>
      </c>
      <c r="I30" s="138">
        <v>31</v>
      </c>
      <c r="J30" s="138">
        <v>2</v>
      </c>
      <c r="K30" s="138">
        <v>4</v>
      </c>
      <c r="L30" s="140">
        <v>1</v>
      </c>
      <c r="M30" s="139">
        <v>47</v>
      </c>
      <c r="N30" s="144">
        <v>12</v>
      </c>
      <c r="O30" s="139">
        <v>18</v>
      </c>
      <c r="P30" s="144">
        <v>9</v>
      </c>
      <c r="Q30" s="265" t="s">
        <v>16</v>
      </c>
      <c r="R30" s="134" t="s">
        <v>27</v>
      </c>
      <c r="S30" s="143">
        <v>162</v>
      </c>
      <c r="T30" s="144">
        <v>288</v>
      </c>
      <c r="U30" s="139">
        <v>6</v>
      </c>
      <c r="V30" s="138">
        <v>14</v>
      </c>
      <c r="W30" s="138">
        <v>9</v>
      </c>
      <c r="X30" s="138">
        <v>10</v>
      </c>
      <c r="Y30" s="138" t="s">
        <v>66</v>
      </c>
      <c r="Z30" s="144">
        <v>3</v>
      </c>
      <c r="AA30" s="139">
        <v>187</v>
      </c>
      <c r="AB30" s="144">
        <v>191</v>
      </c>
      <c r="AC30" s="131">
        <v>1</v>
      </c>
      <c r="AD30" s="136">
        <v>7</v>
      </c>
      <c r="AE30" s="271" t="s">
        <v>66</v>
      </c>
      <c r="AF30" s="269" t="s">
        <v>66</v>
      </c>
      <c r="AH30" s="37"/>
    </row>
    <row r="31" spans="1:33" ht="21.75" customHeight="1">
      <c r="A31" s="195">
        <v>26</v>
      </c>
      <c r="B31" s="228">
        <v>1158</v>
      </c>
      <c r="C31" s="225">
        <v>155</v>
      </c>
      <c r="D31" s="181">
        <v>37</v>
      </c>
      <c r="E31" s="138">
        <v>32</v>
      </c>
      <c r="F31" s="137">
        <v>283</v>
      </c>
      <c r="G31" s="178">
        <v>66</v>
      </c>
      <c r="H31" s="139">
        <v>7</v>
      </c>
      <c r="I31" s="138">
        <v>27</v>
      </c>
      <c r="J31" s="138" t="s">
        <v>66</v>
      </c>
      <c r="K31" s="138">
        <v>2</v>
      </c>
      <c r="L31" s="140">
        <v>1</v>
      </c>
      <c r="M31" s="139">
        <v>65</v>
      </c>
      <c r="N31" s="144">
        <v>15</v>
      </c>
      <c r="O31" s="139">
        <v>17</v>
      </c>
      <c r="P31" s="144">
        <v>7</v>
      </c>
      <c r="Q31" s="265" t="s">
        <v>16</v>
      </c>
      <c r="R31" s="134" t="s">
        <v>16</v>
      </c>
      <c r="S31" s="153">
        <v>158</v>
      </c>
      <c r="T31" s="144">
        <v>218</v>
      </c>
      <c r="U31" s="139">
        <v>9</v>
      </c>
      <c r="V31" s="138">
        <v>9</v>
      </c>
      <c r="W31" s="138">
        <v>8</v>
      </c>
      <c r="X31" s="138">
        <v>2</v>
      </c>
      <c r="Y31" s="138">
        <v>1</v>
      </c>
      <c r="Z31" s="144">
        <v>1</v>
      </c>
      <c r="AA31" s="139">
        <v>82</v>
      </c>
      <c r="AB31" s="144">
        <v>137</v>
      </c>
      <c r="AC31" s="131">
        <v>1</v>
      </c>
      <c r="AD31" s="136">
        <v>4</v>
      </c>
      <c r="AE31" s="271">
        <v>1</v>
      </c>
      <c r="AF31" s="269">
        <v>1</v>
      </c>
      <c r="AG31" s="37"/>
    </row>
    <row r="32" spans="1:33" ht="21.75" customHeight="1">
      <c r="A32" s="195">
        <v>27</v>
      </c>
      <c r="B32" s="228">
        <v>1111</v>
      </c>
      <c r="C32" s="225">
        <v>122</v>
      </c>
      <c r="D32" s="181">
        <v>45</v>
      </c>
      <c r="E32" s="138">
        <v>38</v>
      </c>
      <c r="F32" s="137">
        <v>286</v>
      </c>
      <c r="G32" s="178">
        <v>67</v>
      </c>
      <c r="H32" s="139">
        <v>10</v>
      </c>
      <c r="I32" s="138">
        <v>34</v>
      </c>
      <c r="J32" s="138">
        <v>4</v>
      </c>
      <c r="K32" s="138">
        <v>4</v>
      </c>
      <c r="L32" s="144" t="s">
        <v>66</v>
      </c>
      <c r="M32" s="139">
        <v>73</v>
      </c>
      <c r="N32" s="144">
        <v>24</v>
      </c>
      <c r="O32" s="139">
        <v>24</v>
      </c>
      <c r="P32" s="144">
        <v>3</v>
      </c>
      <c r="Q32" s="265" t="s">
        <v>16</v>
      </c>
      <c r="R32" s="134" t="s">
        <v>16</v>
      </c>
      <c r="S32" s="143">
        <v>198</v>
      </c>
      <c r="T32" s="144">
        <v>291</v>
      </c>
      <c r="U32" s="139">
        <v>7</v>
      </c>
      <c r="V32" s="138">
        <v>7</v>
      </c>
      <c r="W32" s="138">
        <v>6</v>
      </c>
      <c r="X32" s="138">
        <v>4</v>
      </c>
      <c r="Y32" s="138" t="s">
        <v>66</v>
      </c>
      <c r="Z32" s="144">
        <v>2</v>
      </c>
      <c r="AA32" s="139">
        <v>104</v>
      </c>
      <c r="AB32" s="144">
        <v>163</v>
      </c>
      <c r="AC32" s="131">
        <v>3</v>
      </c>
      <c r="AD32" s="136">
        <v>5</v>
      </c>
      <c r="AE32" s="131">
        <v>4</v>
      </c>
      <c r="AF32" s="136" t="s">
        <v>66</v>
      </c>
      <c r="AG32" s="37"/>
    </row>
    <row r="33" spans="1:33" ht="21.75" customHeight="1">
      <c r="A33" s="198">
        <v>28</v>
      </c>
      <c r="B33" s="230">
        <v>1148</v>
      </c>
      <c r="C33" s="227">
        <v>157</v>
      </c>
      <c r="D33" s="184">
        <v>45</v>
      </c>
      <c r="E33" s="154">
        <v>36</v>
      </c>
      <c r="F33" s="155">
        <v>291</v>
      </c>
      <c r="G33" s="178">
        <v>68</v>
      </c>
      <c r="H33" s="156">
        <v>7</v>
      </c>
      <c r="I33" s="154">
        <v>22</v>
      </c>
      <c r="J33" s="138" t="s">
        <v>66</v>
      </c>
      <c r="K33" s="154">
        <v>4</v>
      </c>
      <c r="L33" s="144" t="s">
        <v>66</v>
      </c>
      <c r="M33" s="156">
        <v>57</v>
      </c>
      <c r="N33" s="161">
        <v>14</v>
      </c>
      <c r="O33" s="156">
        <v>17</v>
      </c>
      <c r="P33" s="161">
        <v>9</v>
      </c>
      <c r="Q33" s="265" t="s">
        <v>16</v>
      </c>
      <c r="R33" s="134" t="s">
        <v>16</v>
      </c>
      <c r="S33" s="160">
        <v>185</v>
      </c>
      <c r="T33" s="161">
        <v>208</v>
      </c>
      <c r="U33" s="156">
        <v>9</v>
      </c>
      <c r="V33" s="154">
        <v>5</v>
      </c>
      <c r="W33" s="154">
        <v>16</v>
      </c>
      <c r="X33" s="154">
        <v>2</v>
      </c>
      <c r="Y33" s="138" t="s">
        <v>66</v>
      </c>
      <c r="Z33" s="144">
        <v>2</v>
      </c>
      <c r="AA33" s="156">
        <v>131</v>
      </c>
      <c r="AB33" s="161">
        <v>112</v>
      </c>
      <c r="AC33" s="131">
        <v>6</v>
      </c>
      <c r="AD33" s="136">
        <v>4</v>
      </c>
      <c r="AE33" s="131">
        <v>3</v>
      </c>
      <c r="AF33" s="136">
        <v>2</v>
      </c>
      <c r="AG33" s="37"/>
    </row>
    <row r="34" spans="1:33" ht="21.75" customHeight="1">
      <c r="A34" s="195">
        <v>29</v>
      </c>
      <c r="B34" s="238">
        <v>850</v>
      </c>
      <c r="C34" s="225">
        <v>146</v>
      </c>
      <c r="D34" s="181">
        <v>51</v>
      </c>
      <c r="E34" s="138">
        <v>34</v>
      </c>
      <c r="F34" s="137">
        <v>303</v>
      </c>
      <c r="G34" s="178">
        <v>71</v>
      </c>
      <c r="H34" s="139">
        <v>9</v>
      </c>
      <c r="I34" s="138">
        <v>27</v>
      </c>
      <c r="J34" s="138" t="s">
        <v>66</v>
      </c>
      <c r="K34" s="138">
        <v>4</v>
      </c>
      <c r="L34" s="140">
        <v>1</v>
      </c>
      <c r="M34" s="139">
        <v>49</v>
      </c>
      <c r="N34" s="144">
        <v>15</v>
      </c>
      <c r="O34" s="139">
        <v>17</v>
      </c>
      <c r="P34" s="144">
        <v>11</v>
      </c>
      <c r="Q34" s="265" t="s">
        <v>16</v>
      </c>
      <c r="R34" s="134" t="s">
        <v>16</v>
      </c>
      <c r="S34" s="143">
        <v>88</v>
      </c>
      <c r="T34" s="144">
        <v>273</v>
      </c>
      <c r="U34" s="139">
        <v>5</v>
      </c>
      <c r="V34" s="138">
        <v>7</v>
      </c>
      <c r="W34" s="138">
        <v>16</v>
      </c>
      <c r="X34" s="138">
        <v>2</v>
      </c>
      <c r="Y34" s="138" t="s">
        <v>66</v>
      </c>
      <c r="Z34" s="144">
        <v>4</v>
      </c>
      <c r="AA34" s="139">
        <v>79</v>
      </c>
      <c r="AB34" s="144">
        <v>111</v>
      </c>
      <c r="AC34" s="139">
        <v>4</v>
      </c>
      <c r="AD34" s="144">
        <v>2</v>
      </c>
      <c r="AE34" s="139">
        <v>2</v>
      </c>
      <c r="AF34" s="136" t="s">
        <v>66</v>
      </c>
      <c r="AG34" s="37"/>
    </row>
    <row r="35" spans="1:33" ht="21.75" customHeight="1">
      <c r="A35" s="198">
        <v>30</v>
      </c>
      <c r="B35" s="228">
        <v>1024</v>
      </c>
      <c r="C35" s="222">
        <v>153</v>
      </c>
      <c r="D35" s="181">
        <v>47</v>
      </c>
      <c r="E35" s="138">
        <v>30</v>
      </c>
      <c r="F35" s="137">
        <v>320</v>
      </c>
      <c r="G35" s="178">
        <v>75</v>
      </c>
      <c r="H35" s="139">
        <v>4</v>
      </c>
      <c r="I35" s="138">
        <v>30</v>
      </c>
      <c r="J35" s="138" t="s">
        <v>66</v>
      </c>
      <c r="K35" s="138">
        <v>4</v>
      </c>
      <c r="L35" s="144" t="s">
        <v>66</v>
      </c>
      <c r="M35" s="139">
        <v>57</v>
      </c>
      <c r="N35" s="144">
        <v>18</v>
      </c>
      <c r="O35" s="139">
        <v>14</v>
      </c>
      <c r="P35" s="144">
        <v>7</v>
      </c>
      <c r="Q35" s="265" t="s">
        <v>16</v>
      </c>
      <c r="R35" s="134" t="s">
        <v>16</v>
      </c>
      <c r="S35" s="153">
        <v>115</v>
      </c>
      <c r="T35" s="136">
        <v>412</v>
      </c>
      <c r="U35" s="131">
        <v>1</v>
      </c>
      <c r="V35" s="152">
        <v>7</v>
      </c>
      <c r="W35" s="152">
        <v>11</v>
      </c>
      <c r="X35" s="152">
        <v>9</v>
      </c>
      <c r="Y35" s="130" t="s">
        <v>66</v>
      </c>
      <c r="Z35" s="136">
        <v>4</v>
      </c>
      <c r="AA35" s="131">
        <v>101</v>
      </c>
      <c r="AB35" s="136">
        <v>127</v>
      </c>
      <c r="AC35" s="273" t="s">
        <v>66</v>
      </c>
      <c r="AD35" s="269" t="s">
        <v>66</v>
      </c>
      <c r="AE35" s="131">
        <v>7</v>
      </c>
      <c r="AF35" s="136">
        <v>1</v>
      </c>
      <c r="AG35" s="37"/>
    </row>
    <row r="36" spans="1:33" ht="21.75" customHeight="1" thickBot="1">
      <c r="A36" s="256">
        <v>31</v>
      </c>
      <c r="B36" s="257" t="s">
        <v>16</v>
      </c>
      <c r="C36" s="257">
        <v>166</v>
      </c>
      <c r="D36" s="258">
        <v>4</v>
      </c>
      <c r="E36" s="240">
        <v>8</v>
      </c>
      <c r="F36" s="259">
        <v>316</v>
      </c>
      <c r="G36" s="241">
        <v>74</v>
      </c>
      <c r="H36" s="240" t="s">
        <v>66</v>
      </c>
      <c r="I36" s="240" t="s">
        <v>66</v>
      </c>
      <c r="J36" s="240" t="s">
        <v>66</v>
      </c>
      <c r="K36" s="240">
        <v>2</v>
      </c>
      <c r="L36" s="242" t="s">
        <v>66</v>
      </c>
      <c r="M36" s="243">
        <v>9</v>
      </c>
      <c r="N36" s="242" t="s">
        <v>66</v>
      </c>
      <c r="O36" s="261" t="s">
        <v>66</v>
      </c>
      <c r="P36" s="242" t="s">
        <v>66</v>
      </c>
      <c r="Q36" s="266" t="s">
        <v>66</v>
      </c>
      <c r="R36" s="242" t="s">
        <v>66</v>
      </c>
      <c r="S36" s="261" t="s">
        <v>66</v>
      </c>
      <c r="T36" s="245">
        <v>27</v>
      </c>
      <c r="U36" s="244" t="s">
        <v>66</v>
      </c>
      <c r="V36" s="240" t="s">
        <v>66</v>
      </c>
      <c r="W36" s="240" t="s">
        <v>66</v>
      </c>
      <c r="X36" s="240" t="s">
        <v>66</v>
      </c>
      <c r="Y36" s="240" t="s">
        <v>66</v>
      </c>
      <c r="Z36" s="245" t="s">
        <v>66</v>
      </c>
      <c r="AA36" s="243" t="s">
        <v>66</v>
      </c>
      <c r="AB36" s="245" t="s">
        <v>66</v>
      </c>
      <c r="AC36" s="274" t="s">
        <v>66</v>
      </c>
      <c r="AD36" s="272" t="s">
        <v>66</v>
      </c>
      <c r="AE36" s="243" t="s">
        <v>66</v>
      </c>
      <c r="AF36" s="242" t="s">
        <v>66</v>
      </c>
      <c r="AG36" s="37"/>
    </row>
    <row r="37" spans="1:33" ht="21.75" customHeight="1" thickBot="1" thickTop="1">
      <c r="A37" s="199" t="s">
        <v>22</v>
      </c>
      <c r="B37" s="231">
        <f aca="true" t="shared" si="0" ref="B37:G37">SUM(B6:B36)</f>
        <v>28450</v>
      </c>
      <c r="C37" s="231">
        <f t="shared" si="0"/>
        <v>4547</v>
      </c>
      <c r="D37" s="231">
        <f t="shared" si="0"/>
        <v>1199</v>
      </c>
      <c r="E37" s="231">
        <f t="shared" si="0"/>
        <v>1044</v>
      </c>
      <c r="F37" s="231">
        <f t="shared" si="0"/>
        <v>8787</v>
      </c>
      <c r="G37" s="458">
        <f t="shared" si="0"/>
        <v>2061</v>
      </c>
      <c r="H37" s="231">
        <f>SUM(H6:H35)</f>
        <v>244</v>
      </c>
      <c r="I37" s="231">
        <f>SUM(I6:I36)</f>
        <v>660</v>
      </c>
      <c r="J37" s="174">
        <v>21</v>
      </c>
      <c r="K37" s="231">
        <f>SUM(K6:K36)</f>
        <v>98</v>
      </c>
      <c r="L37" s="231">
        <f>SUM(L6:L35)</f>
        <v>29</v>
      </c>
      <c r="M37" s="260">
        <f>SUM(M6:M36)</f>
        <v>1447</v>
      </c>
      <c r="N37" s="231">
        <f>SUM(N6:N36)</f>
        <v>364</v>
      </c>
      <c r="O37" s="260">
        <f>SUM(O6:O36)</f>
        <v>499</v>
      </c>
      <c r="P37" s="231">
        <f>SUM(P6:P36)</f>
        <v>198</v>
      </c>
      <c r="Q37" s="218">
        <v>3</v>
      </c>
      <c r="R37" s="190" t="s">
        <v>27</v>
      </c>
      <c r="S37" s="260">
        <f>SUM(S6:S35)</f>
        <v>3562</v>
      </c>
      <c r="T37" s="231">
        <f>SUM(T6:T36)</f>
        <v>6571</v>
      </c>
      <c r="U37" s="231">
        <f>SUM(U6:U36)</f>
        <v>182</v>
      </c>
      <c r="V37" s="231">
        <f>SUM(V6:V35)</f>
        <v>162</v>
      </c>
      <c r="W37" s="231">
        <f>SUM(W6:W36)</f>
        <v>196</v>
      </c>
      <c r="X37" s="231">
        <f>SUM(X6:X36)</f>
        <v>144</v>
      </c>
      <c r="Y37" s="231">
        <f>SUM(Y6:Y36)</f>
        <v>23</v>
      </c>
      <c r="Z37" s="231">
        <f>SUM(Z6:Z36)</f>
        <v>49</v>
      </c>
      <c r="AA37" s="260">
        <f aca="true" t="shared" si="1" ref="AA37:AF37">SUM(AA6:AA35)</f>
        <v>3097</v>
      </c>
      <c r="AB37" s="231">
        <f t="shared" si="1"/>
        <v>3947</v>
      </c>
      <c r="AC37" s="260">
        <f t="shared" si="1"/>
        <v>39</v>
      </c>
      <c r="AD37" s="231">
        <f t="shared" si="1"/>
        <v>83</v>
      </c>
      <c r="AE37" s="260">
        <f t="shared" si="1"/>
        <v>63</v>
      </c>
      <c r="AF37" s="231">
        <f t="shared" si="1"/>
        <v>6</v>
      </c>
      <c r="AG37" s="37"/>
    </row>
    <row r="38" spans="1:33" ht="18.75" thickTop="1">
      <c r="A38" s="217" t="s">
        <v>162</v>
      </c>
      <c r="B38" s="40"/>
      <c r="C38" s="40"/>
      <c r="D38" s="40"/>
      <c r="E38" s="40"/>
      <c r="F38" s="39"/>
      <c r="G38" s="687">
        <f>G37/31</f>
        <v>66.48387096774194</v>
      </c>
      <c r="H38" s="39"/>
      <c r="I38" s="39"/>
      <c r="J38" s="39"/>
      <c r="K38" s="39"/>
      <c r="L38" s="106"/>
      <c r="M38" s="106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7"/>
    </row>
    <row r="39" spans="1:33" ht="20.25">
      <c r="A39" s="188" t="s">
        <v>68</v>
      </c>
      <c r="B39" s="188"/>
      <c r="C39" s="188"/>
      <c r="D39" s="188" t="s">
        <v>69</v>
      </c>
      <c r="E39" s="188"/>
      <c r="F39" s="188"/>
      <c r="G39" s="188"/>
      <c r="H39" s="39"/>
      <c r="I39" s="39"/>
      <c r="J39" s="39"/>
      <c r="K39" s="39"/>
      <c r="L39" s="106"/>
      <c r="M39" s="106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7"/>
    </row>
    <row r="40" spans="1:33" ht="18">
      <c r="A40" s="39"/>
      <c r="B40" s="40"/>
      <c r="C40" s="40"/>
      <c r="D40" s="40"/>
      <c r="E40" s="40"/>
      <c r="F40" s="39"/>
      <c r="G40" s="37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217" t="s">
        <v>29</v>
      </c>
      <c r="AA40" s="39"/>
      <c r="AB40" s="39"/>
      <c r="AC40" s="39"/>
      <c r="AD40" s="39"/>
      <c r="AE40" s="39"/>
      <c r="AF40" s="39"/>
      <c r="AG40" s="37"/>
    </row>
    <row r="41" ht="12.75">
      <c r="G41" s="42"/>
    </row>
    <row r="42" ht="12.75">
      <c r="N42" s="8"/>
    </row>
    <row r="43" ht="12.75">
      <c r="A43" s="9"/>
    </row>
    <row r="44" ht="12.75">
      <c r="A44" s="9"/>
    </row>
    <row r="45" ht="12.75">
      <c r="A45" s="9"/>
    </row>
    <row r="46" ht="12.75">
      <c r="A46" s="9"/>
    </row>
    <row r="47" spans="1:6" ht="12.75">
      <c r="A47" s="9"/>
      <c r="F47">
        <v>4.25</v>
      </c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68" spans="4:7" ht="12.75">
      <c r="D68" s="21"/>
      <c r="G68" s="43"/>
    </row>
  </sheetData>
  <sheetProtection/>
  <mergeCells count="27">
    <mergeCell ref="A5:C5"/>
    <mergeCell ref="D5:G5"/>
    <mergeCell ref="H5:L5"/>
    <mergeCell ref="Y4:Z4"/>
    <mergeCell ref="S4:T4"/>
    <mergeCell ref="U4:V4"/>
    <mergeCell ref="W4:X4"/>
    <mergeCell ref="AA4:AB4"/>
    <mergeCell ref="AC4:AD4"/>
    <mergeCell ref="AE4:AF4"/>
    <mergeCell ref="I3:I4"/>
    <mergeCell ref="L3:L4"/>
    <mergeCell ref="M3:R3"/>
    <mergeCell ref="S3:AF3"/>
    <mergeCell ref="M4:N4"/>
    <mergeCell ref="O4:P4"/>
    <mergeCell ref="Q4:R4"/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1" right="0" top="0.25" bottom="0.25" header="0" footer="0"/>
  <pageSetup horizontalDpi="600" verticalDpi="600" orientation="landscape" paperSize="5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EE85"/>
  <sheetViews>
    <sheetView workbookViewId="0" topLeftCell="A25">
      <selection activeCell="G38" sqref="G38"/>
    </sheetView>
  </sheetViews>
  <sheetFormatPr defaultColWidth="9.140625" defaultRowHeight="12.75"/>
  <cols>
    <col min="1" max="1" width="10.00390625" style="0" customWidth="1"/>
    <col min="2" max="2" width="11.00390625" style="4" customWidth="1"/>
    <col min="3" max="3" width="9.421875" style="4" customWidth="1"/>
    <col min="4" max="4" width="9.00390625" style="4" customWidth="1"/>
    <col min="5" max="5" width="9.140625" style="4" customWidth="1"/>
    <col min="6" max="6" width="8.7109375" style="0" customWidth="1"/>
    <col min="7" max="7" width="8.57421875" style="9" customWidth="1"/>
    <col min="8" max="8" width="7.28125" style="0" customWidth="1"/>
    <col min="9" max="9" width="7.7109375" style="0" customWidth="1"/>
    <col min="10" max="11" width="8.00390625" style="0" customWidth="1"/>
    <col min="12" max="12" width="6.7109375" style="0" customWidth="1"/>
    <col min="13" max="13" width="8.57421875" style="0" customWidth="1"/>
    <col min="14" max="14" width="6.8515625" style="0" customWidth="1"/>
    <col min="15" max="15" width="7.57421875" style="0" customWidth="1"/>
    <col min="16" max="16" width="7.7109375" style="0" customWidth="1"/>
    <col min="17" max="17" width="6.140625" style="0" customWidth="1"/>
    <col min="18" max="18" width="5.8515625" style="0" customWidth="1"/>
    <col min="19" max="19" width="9.421875" style="0" customWidth="1"/>
    <col min="20" max="20" width="9.28125" style="0" bestFit="1" customWidth="1"/>
    <col min="21" max="21" width="7.7109375" style="0" customWidth="1"/>
    <col min="22" max="22" width="6.7109375" style="0" customWidth="1"/>
    <col min="23" max="23" width="7.00390625" style="0" customWidth="1"/>
    <col min="24" max="24" width="6.7109375" style="0" customWidth="1"/>
    <col min="25" max="25" width="4.7109375" style="0" customWidth="1"/>
    <col min="26" max="26" width="6.28125" style="0" customWidth="1"/>
    <col min="27" max="27" width="9.8515625" style="0" customWidth="1"/>
    <col min="29" max="29" width="7.140625" style="0" bestFit="1" customWidth="1"/>
    <col min="30" max="30" width="6.00390625" style="0" customWidth="1"/>
    <col min="31" max="31" width="5.28125" style="0" customWidth="1"/>
    <col min="32" max="32" width="6.28125" style="0" customWidth="1"/>
    <col min="33" max="16384" width="9.140625" style="9" customWidth="1"/>
  </cols>
  <sheetData>
    <row r="1" spans="1:32" ht="12" customHeight="1">
      <c r="A1" s="537" t="s">
        <v>50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3" ht="17.25" customHeight="1" thickBot="1">
      <c r="A2" s="531" t="s">
        <v>72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37"/>
    </row>
    <row r="3" spans="1:35" ht="12" customHeight="1" thickBot="1" thickTop="1">
      <c r="A3" s="555" t="s">
        <v>23</v>
      </c>
      <c r="B3" s="557" t="s">
        <v>0</v>
      </c>
      <c r="C3" s="559" t="s">
        <v>56</v>
      </c>
      <c r="D3" s="576" t="s">
        <v>20</v>
      </c>
      <c r="E3" s="604" t="s">
        <v>21</v>
      </c>
      <c r="F3" s="586" t="s">
        <v>19</v>
      </c>
      <c r="G3" s="613" t="s">
        <v>2</v>
      </c>
      <c r="H3" s="584" t="s">
        <v>3</v>
      </c>
      <c r="I3" s="580" t="s">
        <v>4</v>
      </c>
      <c r="J3" s="600" t="s">
        <v>63</v>
      </c>
      <c r="K3" s="598" t="s">
        <v>26</v>
      </c>
      <c r="L3" s="529" t="s">
        <v>5</v>
      </c>
      <c r="M3" s="611" t="s">
        <v>17</v>
      </c>
      <c r="N3" s="612"/>
      <c r="O3" s="612"/>
      <c r="P3" s="612"/>
      <c r="Q3" s="612"/>
      <c r="R3" s="612"/>
      <c r="S3" s="607" t="s">
        <v>48</v>
      </c>
      <c r="T3" s="608"/>
      <c r="U3" s="608"/>
      <c r="V3" s="608"/>
      <c r="W3" s="608"/>
      <c r="X3" s="608"/>
      <c r="Y3" s="608"/>
      <c r="Z3" s="608"/>
      <c r="AA3" s="608"/>
      <c r="AB3" s="608"/>
      <c r="AC3" s="608"/>
      <c r="AD3" s="608"/>
      <c r="AE3" s="608"/>
      <c r="AF3" s="609"/>
      <c r="AG3" s="123"/>
      <c r="AH3" s="76"/>
      <c r="AI3" s="76"/>
    </row>
    <row r="4" spans="1:35" ht="92.25" customHeight="1" thickBot="1" thickTop="1">
      <c r="A4" s="556"/>
      <c r="B4" s="558"/>
      <c r="C4" s="560"/>
      <c r="D4" s="577"/>
      <c r="E4" s="605"/>
      <c r="F4" s="550"/>
      <c r="G4" s="614"/>
      <c r="H4" s="585"/>
      <c r="I4" s="581"/>
      <c r="J4" s="601"/>
      <c r="K4" s="599"/>
      <c r="L4" s="533"/>
      <c r="M4" s="595" t="s">
        <v>6</v>
      </c>
      <c r="N4" s="596"/>
      <c r="O4" s="595" t="s">
        <v>15</v>
      </c>
      <c r="P4" s="596"/>
      <c r="Q4" s="595" t="s">
        <v>7</v>
      </c>
      <c r="R4" s="610"/>
      <c r="S4" s="615" t="s">
        <v>25</v>
      </c>
      <c r="T4" s="616"/>
      <c r="U4" s="602" t="s">
        <v>34</v>
      </c>
      <c r="V4" s="603"/>
      <c r="W4" s="602" t="s">
        <v>9</v>
      </c>
      <c r="X4" s="603"/>
      <c r="Y4" s="606" t="s">
        <v>10</v>
      </c>
      <c r="Z4" s="603"/>
      <c r="AA4" s="606" t="s">
        <v>11</v>
      </c>
      <c r="AB4" s="603"/>
      <c r="AC4" s="606" t="s">
        <v>24</v>
      </c>
      <c r="AD4" s="603"/>
      <c r="AE4" s="602" t="s">
        <v>12</v>
      </c>
      <c r="AF4" s="603"/>
      <c r="AG4" s="123"/>
      <c r="AH4" s="76"/>
      <c r="AI4" s="76"/>
    </row>
    <row r="5" spans="1:34" ht="16.5" customHeight="1" thickBot="1" thickTop="1">
      <c r="A5" s="521"/>
      <c r="B5" s="522"/>
      <c r="C5" s="528"/>
      <c r="D5" s="592" t="s">
        <v>71</v>
      </c>
      <c r="E5" s="593"/>
      <c r="F5" s="593"/>
      <c r="G5" s="594"/>
      <c r="H5" s="522"/>
      <c r="I5" s="522"/>
      <c r="J5" s="522"/>
      <c r="K5" s="522"/>
      <c r="L5" s="528"/>
      <c r="M5" s="63" t="s">
        <v>13</v>
      </c>
      <c r="N5" s="65" t="s">
        <v>14</v>
      </c>
      <c r="O5" s="120" t="s">
        <v>13</v>
      </c>
      <c r="P5" s="65" t="s">
        <v>14</v>
      </c>
      <c r="Q5" s="120" t="s">
        <v>13</v>
      </c>
      <c r="R5" s="65" t="s">
        <v>14</v>
      </c>
      <c r="S5" s="335" t="s">
        <v>13</v>
      </c>
      <c r="T5" s="127" t="s">
        <v>14</v>
      </c>
      <c r="U5" s="63" t="s">
        <v>13</v>
      </c>
      <c r="V5" s="246" t="s">
        <v>14</v>
      </c>
      <c r="W5" s="63" t="s">
        <v>13</v>
      </c>
      <c r="X5" s="65" t="s">
        <v>14</v>
      </c>
      <c r="Y5" s="120" t="s">
        <v>13</v>
      </c>
      <c r="Z5" s="65" t="s">
        <v>14</v>
      </c>
      <c r="AA5" s="120" t="s">
        <v>13</v>
      </c>
      <c r="AB5" s="65" t="s">
        <v>14</v>
      </c>
      <c r="AC5" s="120" t="s">
        <v>13</v>
      </c>
      <c r="AD5" s="65" t="s">
        <v>14</v>
      </c>
      <c r="AE5" s="120" t="s">
        <v>13</v>
      </c>
      <c r="AF5" s="65" t="s">
        <v>14</v>
      </c>
      <c r="AG5" s="37"/>
      <c r="AH5" s="76"/>
    </row>
    <row r="6" spans="1:135" s="128" customFormat="1" ht="19.5" customHeight="1" thickBot="1" thickTop="1">
      <c r="A6" s="194">
        <v>1</v>
      </c>
      <c r="B6" s="191">
        <v>1274</v>
      </c>
      <c r="C6" s="183">
        <v>136</v>
      </c>
      <c r="D6" s="180">
        <v>37</v>
      </c>
      <c r="E6" s="130">
        <v>65</v>
      </c>
      <c r="F6" s="327">
        <v>288</v>
      </c>
      <c r="G6" s="324">
        <f>+F6/4.25</f>
        <v>67.76470588235294</v>
      </c>
      <c r="H6" s="131" t="s">
        <v>16</v>
      </c>
      <c r="I6" s="130">
        <v>25</v>
      </c>
      <c r="J6" s="130" t="s">
        <v>16</v>
      </c>
      <c r="K6" s="130" t="s">
        <v>16</v>
      </c>
      <c r="L6" s="132" t="s">
        <v>16</v>
      </c>
      <c r="M6" s="131">
        <v>56</v>
      </c>
      <c r="N6" s="136">
        <v>12</v>
      </c>
      <c r="O6" s="131">
        <v>19</v>
      </c>
      <c r="P6" s="136">
        <v>8</v>
      </c>
      <c r="Q6" s="278" t="s">
        <v>16</v>
      </c>
      <c r="R6" s="134" t="s">
        <v>16</v>
      </c>
      <c r="S6" s="339">
        <v>178</v>
      </c>
      <c r="T6" s="220">
        <v>176</v>
      </c>
      <c r="U6" s="131">
        <v>2</v>
      </c>
      <c r="V6" s="275">
        <v>2</v>
      </c>
      <c r="W6" s="271">
        <v>10</v>
      </c>
      <c r="X6" s="136">
        <v>4</v>
      </c>
      <c r="Y6" s="131">
        <v>2</v>
      </c>
      <c r="Z6" s="136">
        <v>1</v>
      </c>
      <c r="AA6" s="131">
        <v>138</v>
      </c>
      <c r="AB6" s="136">
        <v>198</v>
      </c>
      <c r="AC6" s="131" t="s">
        <v>16</v>
      </c>
      <c r="AD6" s="136" t="s">
        <v>16</v>
      </c>
      <c r="AE6" s="131">
        <v>4</v>
      </c>
      <c r="AF6" s="136" t="s">
        <v>16</v>
      </c>
      <c r="AG6" s="37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33" ht="19.5" customHeight="1" thickBot="1" thickTop="1">
      <c r="A7" s="195">
        <v>2</v>
      </c>
      <c r="B7" s="192">
        <v>1035</v>
      </c>
      <c r="C7" s="144">
        <v>109</v>
      </c>
      <c r="D7" s="181">
        <v>26</v>
      </c>
      <c r="E7" s="138">
        <v>50</v>
      </c>
      <c r="F7" s="328">
        <v>264</v>
      </c>
      <c r="G7" s="324">
        <f aca="true" t="shared" si="0" ref="G7:G36">+F7/4.25</f>
        <v>62.11764705882353</v>
      </c>
      <c r="H7" s="139">
        <v>5</v>
      </c>
      <c r="I7" s="138">
        <v>26</v>
      </c>
      <c r="J7" s="138" t="s">
        <v>16</v>
      </c>
      <c r="K7" s="138">
        <v>2</v>
      </c>
      <c r="L7" s="140" t="s">
        <v>16</v>
      </c>
      <c r="M7" s="139">
        <v>57</v>
      </c>
      <c r="N7" s="144">
        <v>8</v>
      </c>
      <c r="O7" s="139">
        <v>18</v>
      </c>
      <c r="P7" s="144">
        <v>7</v>
      </c>
      <c r="Q7" s="278" t="s">
        <v>16</v>
      </c>
      <c r="R7" s="134" t="s">
        <v>16</v>
      </c>
      <c r="S7" s="340">
        <v>110</v>
      </c>
      <c r="T7" s="222">
        <v>248</v>
      </c>
      <c r="U7" s="139">
        <v>6</v>
      </c>
      <c r="V7" s="276">
        <v>12</v>
      </c>
      <c r="W7" s="273">
        <v>13</v>
      </c>
      <c r="X7" s="144">
        <v>3</v>
      </c>
      <c r="Y7" s="139">
        <v>1</v>
      </c>
      <c r="Z7" s="144">
        <v>3</v>
      </c>
      <c r="AA7" s="139">
        <v>195</v>
      </c>
      <c r="AB7" s="144">
        <v>133</v>
      </c>
      <c r="AC7" s="131" t="s">
        <v>16</v>
      </c>
      <c r="AD7" s="136" t="s">
        <v>16</v>
      </c>
      <c r="AE7" s="131">
        <v>7</v>
      </c>
      <c r="AF7" s="136">
        <v>1</v>
      </c>
      <c r="AG7" s="37"/>
    </row>
    <row r="8" spans="1:34" ht="19.5" customHeight="1" thickBot="1" thickTop="1">
      <c r="A8" s="195">
        <v>3</v>
      </c>
      <c r="B8" s="192">
        <v>907</v>
      </c>
      <c r="C8" s="144">
        <v>125</v>
      </c>
      <c r="D8" s="181">
        <v>18</v>
      </c>
      <c r="E8" s="138">
        <v>28</v>
      </c>
      <c r="F8" s="328">
        <v>254</v>
      </c>
      <c r="G8" s="324">
        <f t="shared" si="0"/>
        <v>59.76470588235294</v>
      </c>
      <c r="H8" s="139">
        <v>13</v>
      </c>
      <c r="I8" s="138">
        <v>20</v>
      </c>
      <c r="J8" s="138">
        <v>2</v>
      </c>
      <c r="K8" s="138" t="s">
        <v>16</v>
      </c>
      <c r="L8" s="140">
        <v>3</v>
      </c>
      <c r="M8" s="139">
        <v>50</v>
      </c>
      <c r="N8" s="144">
        <v>11</v>
      </c>
      <c r="O8" s="139">
        <v>17</v>
      </c>
      <c r="P8" s="144">
        <v>5</v>
      </c>
      <c r="Q8" s="278" t="s">
        <v>16</v>
      </c>
      <c r="R8" s="134" t="s">
        <v>16</v>
      </c>
      <c r="S8" s="340">
        <v>164</v>
      </c>
      <c r="T8" s="222">
        <v>87</v>
      </c>
      <c r="U8" s="139">
        <v>3</v>
      </c>
      <c r="V8" s="276">
        <v>3</v>
      </c>
      <c r="W8" s="273">
        <v>5</v>
      </c>
      <c r="X8" s="144" t="s">
        <v>16</v>
      </c>
      <c r="Y8" s="139" t="s">
        <v>16</v>
      </c>
      <c r="Z8" s="144" t="s">
        <v>16</v>
      </c>
      <c r="AA8" s="139">
        <v>111</v>
      </c>
      <c r="AB8" s="144">
        <v>95</v>
      </c>
      <c r="AC8" s="131">
        <v>2</v>
      </c>
      <c r="AD8" s="136">
        <v>7</v>
      </c>
      <c r="AE8" s="131">
        <v>1</v>
      </c>
      <c r="AF8" s="136" t="s">
        <v>16</v>
      </c>
      <c r="AG8" s="76"/>
      <c r="AH8" s="37"/>
    </row>
    <row r="9" spans="1:34" ht="19.5" customHeight="1" thickBot="1" thickTop="1">
      <c r="A9" s="195">
        <v>4</v>
      </c>
      <c r="B9" s="192">
        <v>1026</v>
      </c>
      <c r="C9" s="144">
        <v>153</v>
      </c>
      <c r="D9" s="181">
        <v>32</v>
      </c>
      <c r="E9" s="138">
        <v>28</v>
      </c>
      <c r="F9" s="328">
        <v>258</v>
      </c>
      <c r="G9" s="324">
        <f t="shared" si="0"/>
        <v>60.705882352941174</v>
      </c>
      <c r="H9" s="139">
        <v>10</v>
      </c>
      <c r="I9" s="138">
        <v>18</v>
      </c>
      <c r="J9" s="138" t="s">
        <v>16</v>
      </c>
      <c r="K9" s="138">
        <v>1</v>
      </c>
      <c r="L9" s="140" t="s">
        <v>16</v>
      </c>
      <c r="M9" s="139">
        <v>44</v>
      </c>
      <c r="N9" s="144">
        <v>10</v>
      </c>
      <c r="O9" s="139">
        <v>23</v>
      </c>
      <c r="P9" s="144">
        <v>5</v>
      </c>
      <c r="Q9" s="278" t="s">
        <v>16</v>
      </c>
      <c r="R9" s="134" t="s">
        <v>16</v>
      </c>
      <c r="S9" s="340">
        <v>125</v>
      </c>
      <c r="T9" s="222">
        <v>201</v>
      </c>
      <c r="U9" s="139">
        <v>1</v>
      </c>
      <c r="V9" s="276">
        <v>1</v>
      </c>
      <c r="W9" s="273">
        <v>5</v>
      </c>
      <c r="X9" s="144">
        <v>4</v>
      </c>
      <c r="Y9" s="139">
        <v>1</v>
      </c>
      <c r="Z9" s="144">
        <v>2</v>
      </c>
      <c r="AA9" s="139">
        <v>139</v>
      </c>
      <c r="AB9" s="144">
        <v>141</v>
      </c>
      <c r="AC9" s="131">
        <v>4</v>
      </c>
      <c r="AD9" s="136" t="s">
        <v>16</v>
      </c>
      <c r="AE9" s="131">
        <v>2</v>
      </c>
      <c r="AF9" s="136" t="s">
        <v>16</v>
      </c>
      <c r="AH9" s="37"/>
    </row>
    <row r="10" spans="1:34" ht="19.5" customHeight="1" thickBot="1" thickTop="1">
      <c r="A10" s="195">
        <v>5</v>
      </c>
      <c r="B10" s="192">
        <v>813</v>
      </c>
      <c r="C10" s="144">
        <v>89</v>
      </c>
      <c r="D10" s="181">
        <v>18</v>
      </c>
      <c r="E10" s="138">
        <v>20</v>
      </c>
      <c r="F10" s="328">
        <v>256</v>
      </c>
      <c r="G10" s="324">
        <f t="shared" si="0"/>
        <v>60.23529411764706</v>
      </c>
      <c r="H10" s="139">
        <v>7</v>
      </c>
      <c r="I10" s="138">
        <v>25</v>
      </c>
      <c r="J10" s="138" t="s">
        <v>16</v>
      </c>
      <c r="K10" s="138">
        <v>3</v>
      </c>
      <c r="L10" s="140" t="s">
        <v>16</v>
      </c>
      <c r="M10" s="139">
        <v>34</v>
      </c>
      <c r="N10" s="144">
        <v>10</v>
      </c>
      <c r="O10" s="139">
        <v>17</v>
      </c>
      <c r="P10" s="144">
        <v>5</v>
      </c>
      <c r="Q10" s="278" t="s">
        <v>16</v>
      </c>
      <c r="R10" s="134" t="s">
        <v>16</v>
      </c>
      <c r="S10" s="340">
        <v>100</v>
      </c>
      <c r="T10" s="222">
        <v>176</v>
      </c>
      <c r="U10" s="139">
        <v>4</v>
      </c>
      <c r="V10" s="276">
        <v>2</v>
      </c>
      <c r="W10" s="273" t="s">
        <v>16</v>
      </c>
      <c r="X10" s="144">
        <v>2</v>
      </c>
      <c r="Y10" s="139" t="s">
        <v>16</v>
      </c>
      <c r="Z10" s="144">
        <v>3</v>
      </c>
      <c r="AA10" s="139">
        <v>53</v>
      </c>
      <c r="AB10" s="144">
        <v>109</v>
      </c>
      <c r="AC10" s="131">
        <v>4</v>
      </c>
      <c r="AD10" s="136">
        <v>1</v>
      </c>
      <c r="AE10" s="131">
        <v>7</v>
      </c>
      <c r="AF10" s="136" t="s">
        <v>16</v>
      </c>
      <c r="AH10" s="37"/>
    </row>
    <row r="11" spans="1:34" ht="19.5" customHeight="1" thickBot="1" thickTop="1">
      <c r="A11" s="195">
        <v>6</v>
      </c>
      <c r="B11" s="192">
        <v>1108</v>
      </c>
      <c r="C11" s="144">
        <v>71</v>
      </c>
      <c r="D11" s="181">
        <v>33</v>
      </c>
      <c r="E11" s="138">
        <v>30</v>
      </c>
      <c r="F11" s="328">
        <v>259</v>
      </c>
      <c r="G11" s="324">
        <f t="shared" si="0"/>
        <v>60.94117647058823</v>
      </c>
      <c r="H11" s="139">
        <v>5</v>
      </c>
      <c r="I11" s="138">
        <v>18</v>
      </c>
      <c r="J11" s="138" t="s">
        <v>16</v>
      </c>
      <c r="K11" s="138" t="s">
        <v>16</v>
      </c>
      <c r="L11" s="140" t="s">
        <v>16</v>
      </c>
      <c r="M11" s="139">
        <v>57</v>
      </c>
      <c r="N11" s="144">
        <v>9</v>
      </c>
      <c r="O11" s="139">
        <v>16</v>
      </c>
      <c r="P11" s="144">
        <v>6</v>
      </c>
      <c r="Q11" s="278" t="s">
        <v>16</v>
      </c>
      <c r="R11" s="134" t="s">
        <v>16</v>
      </c>
      <c r="S11" s="340">
        <v>158</v>
      </c>
      <c r="T11" s="222">
        <v>39</v>
      </c>
      <c r="U11" s="139">
        <v>4</v>
      </c>
      <c r="V11" s="276">
        <v>2</v>
      </c>
      <c r="W11" s="273">
        <v>1</v>
      </c>
      <c r="X11" s="144">
        <v>2</v>
      </c>
      <c r="Y11" s="139">
        <v>1</v>
      </c>
      <c r="Z11" s="144">
        <v>3</v>
      </c>
      <c r="AA11" s="139">
        <v>140</v>
      </c>
      <c r="AB11" s="144">
        <v>94</v>
      </c>
      <c r="AC11" s="131">
        <v>8</v>
      </c>
      <c r="AD11" s="136" t="s">
        <v>16</v>
      </c>
      <c r="AE11" s="131" t="s">
        <v>16</v>
      </c>
      <c r="AF11" s="144" t="s">
        <v>16</v>
      </c>
      <c r="AH11" s="37"/>
    </row>
    <row r="12" spans="1:34" ht="19.5" customHeight="1" thickBot="1" thickTop="1">
      <c r="A12" s="280">
        <v>7</v>
      </c>
      <c r="B12" s="281"/>
      <c r="C12" s="282">
        <v>97</v>
      </c>
      <c r="D12" s="283">
        <v>4</v>
      </c>
      <c r="E12" s="284">
        <v>7</v>
      </c>
      <c r="F12" s="329">
        <v>256</v>
      </c>
      <c r="G12" s="325">
        <f t="shared" si="0"/>
        <v>60.23529411764706</v>
      </c>
      <c r="H12" s="285">
        <v>1</v>
      </c>
      <c r="I12" s="284" t="s">
        <v>16</v>
      </c>
      <c r="J12" s="284" t="s">
        <v>16</v>
      </c>
      <c r="K12" s="284">
        <v>1</v>
      </c>
      <c r="L12" s="286">
        <v>1</v>
      </c>
      <c r="M12" s="287">
        <v>1</v>
      </c>
      <c r="N12" s="288" t="s">
        <v>16</v>
      </c>
      <c r="O12" s="285">
        <v>0</v>
      </c>
      <c r="P12" s="282" t="s">
        <v>16</v>
      </c>
      <c r="Q12" s="289" t="s">
        <v>16</v>
      </c>
      <c r="R12" s="290" t="s">
        <v>16</v>
      </c>
      <c r="S12" s="336" t="s">
        <v>16</v>
      </c>
      <c r="T12" s="336" t="s">
        <v>16</v>
      </c>
      <c r="U12" s="285" t="s">
        <v>16</v>
      </c>
      <c r="V12" s="291" t="s">
        <v>16</v>
      </c>
      <c r="W12" s="292" t="s">
        <v>16</v>
      </c>
      <c r="X12" s="282" t="s">
        <v>16</v>
      </c>
      <c r="Y12" s="285" t="s">
        <v>16</v>
      </c>
      <c r="Z12" s="282"/>
      <c r="AA12" s="285">
        <v>0</v>
      </c>
      <c r="AB12" s="282" t="s">
        <v>16</v>
      </c>
      <c r="AC12" s="293" t="s">
        <v>16</v>
      </c>
      <c r="AD12" s="294" t="s">
        <v>16</v>
      </c>
      <c r="AE12" s="293" t="s">
        <v>16</v>
      </c>
      <c r="AF12" s="294" t="s">
        <v>16</v>
      </c>
      <c r="AH12" s="37"/>
    </row>
    <row r="13" spans="1:135" s="128" customFormat="1" ht="19.5" customHeight="1" thickBot="1" thickTop="1">
      <c r="A13" s="195">
        <v>8</v>
      </c>
      <c r="B13" s="192">
        <v>1290</v>
      </c>
      <c r="C13" s="144">
        <v>128</v>
      </c>
      <c r="D13" s="181">
        <v>40</v>
      </c>
      <c r="E13" s="138">
        <v>48</v>
      </c>
      <c r="F13" s="328">
        <v>248</v>
      </c>
      <c r="G13" s="324">
        <f t="shared" si="0"/>
        <v>58.35294117647059</v>
      </c>
      <c r="H13" s="139">
        <v>10</v>
      </c>
      <c r="I13" s="138">
        <v>18</v>
      </c>
      <c r="J13" s="138" t="s">
        <v>78</v>
      </c>
      <c r="K13" s="138">
        <v>1</v>
      </c>
      <c r="L13" s="140">
        <v>1</v>
      </c>
      <c r="M13" s="139">
        <v>66</v>
      </c>
      <c r="N13" s="144">
        <v>12</v>
      </c>
      <c r="O13" s="139">
        <v>17</v>
      </c>
      <c r="P13" s="144">
        <v>6</v>
      </c>
      <c r="Q13" s="278" t="s">
        <v>16</v>
      </c>
      <c r="R13" s="134" t="s">
        <v>16</v>
      </c>
      <c r="S13" s="340">
        <v>161</v>
      </c>
      <c r="T13" s="222">
        <v>240</v>
      </c>
      <c r="U13" s="139">
        <v>1</v>
      </c>
      <c r="V13" s="276">
        <v>4</v>
      </c>
      <c r="W13" s="273">
        <v>17</v>
      </c>
      <c r="X13" s="144">
        <v>3</v>
      </c>
      <c r="Y13" s="139" t="s">
        <v>16</v>
      </c>
      <c r="Z13" s="144"/>
      <c r="AA13" s="139">
        <v>163</v>
      </c>
      <c r="AB13" s="144">
        <v>205</v>
      </c>
      <c r="AC13" s="131">
        <v>9</v>
      </c>
      <c r="AD13" s="136">
        <v>2</v>
      </c>
      <c r="AE13" s="131">
        <v>7</v>
      </c>
      <c r="AF13" s="136" t="s">
        <v>16</v>
      </c>
      <c r="AG13" s="9"/>
      <c r="AH13" s="37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34" ht="19.5" customHeight="1" thickBot="1" thickTop="1">
      <c r="A14" s="195">
        <v>9</v>
      </c>
      <c r="B14" s="192">
        <v>1145</v>
      </c>
      <c r="C14" s="144">
        <v>136</v>
      </c>
      <c r="D14" s="181">
        <v>37</v>
      </c>
      <c r="E14" s="138">
        <v>21</v>
      </c>
      <c r="F14" s="328">
        <v>264</v>
      </c>
      <c r="G14" s="324">
        <f t="shared" si="0"/>
        <v>62.11764705882353</v>
      </c>
      <c r="H14" s="139">
        <v>8</v>
      </c>
      <c r="I14" s="138">
        <v>22</v>
      </c>
      <c r="J14" s="138" t="s">
        <v>16</v>
      </c>
      <c r="K14" s="138">
        <v>1</v>
      </c>
      <c r="L14" s="140" t="s">
        <v>16</v>
      </c>
      <c r="M14" s="139">
        <v>67</v>
      </c>
      <c r="N14" s="144">
        <v>9</v>
      </c>
      <c r="O14" s="139">
        <v>19</v>
      </c>
      <c r="P14" s="144">
        <v>9</v>
      </c>
      <c r="Q14" s="278" t="s">
        <v>16</v>
      </c>
      <c r="R14" s="134" t="s">
        <v>16</v>
      </c>
      <c r="S14" s="340">
        <v>152</v>
      </c>
      <c r="T14" s="222">
        <v>180</v>
      </c>
      <c r="U14" s="139">
        <v>6</v>
      </c>
      <c r="V14" s="276">
        <v>5</v>
      </c>
      <c r="W14" s="273">
        <v>17</v>
      </c>
      <c r="X14" s="144">
        <v>6</v>
      </c>
      <c r="Y14" s="139" t="s">
        <v>16</v>
      </c>
      <c r="Z14" s="144">
        <v>1</v>
      </c>
      <c r="AA14" s="139">
        <v>177</v>
      </c>
      <c r="AB14" s="144">
        <v>162</v>
      </c>
      <c r="AC14" s="131">
        <v>9</v>
      </c>
      <c r="AD14" s="136" t="s">
        <v>16</v>
      </c>
      <c r="AE14" s="131">
        <v>2</v>
      </c>
      <c r="AF14" s="136" t="s">
        <v>16</v>
      </c>
      <c r="AH14" s="37"/>
    </row>
    <row r="15" spans="1:34" ht="19.5" customHeight="1" thickBot="1" thickTop="1">
      <c r="A15" s="195">
        <v>10</v>
      </c>
      <c r="B15" s="192">
        <v>1063</v>
      </c>
      <c r="C15" s="144">
        <v>104</v>
      </c>
      <c r="D15" s="181">
        <v>24</v>
      </c>
      <c r="E15" s="138">
        <v>33</v>
      </c>
      <c r="F15" s="328">
        <v>255</v>
      </c>
      <c r="G15" s="324">
        <f t="shared" si="0"/>
        <v>60</v>
      </c>
      <c r="H15" s="139">
        <v>12</v>
      </c>
      <c r="I15" s="138">
        <v>23</v>
      </c>
      <c r="J15" s="138">
        <v>3</v>
      </c>
      <c r="K15" s="138">
        <v>2</v>
      </c>
      <c r="L15" s="140">
        <v>2</v>
      </c>
      <c r="M15" s="139">
        <v>55</v>
      </c>
      <c r="N15" s="144">
        <v>7</v>
      </c>
      <c r="O15" s="139">
        <v>25</v>
      </c>
      <c r="P15" s="144">
        <v>6</v>
      </c>
      <c r="Q15" s="278" t="s">
        <v>16</v>
      </c>
      <c r="R15" s="134" t="s">
        <v>16</v>
      </c>
      <c r="S15" s="340">
        <v>143</v>
      </c>
      <c r="T15" s="222">
        <v>165</v>
      </c>
      <c r="U15" s="139" t="s">
        <v>16</v>
      </c>
      <c r="V15" s="276">
        <v>5</v>
      </c>
      <c r="W15" s="273">
        <v>8</v>
      </c>
      <c r="X15" s="144">
        <v>1</v>
      </c>
      <c r="Y15" s="139" t="s">
        <v>16</v>
      </c>
      <c r="Z15" s="144"/>
      <c r="AA15" s="139">
        <v>123</v>
      </c>
      <c r="AB15" s="144">
        <v>131</v>
      </c>
      <c r="AC15" s="131">
        <v>10</v>
      </c>
      <c r="AD15" s="136">
        <v>1</v>
      </c>
      <c r="AE15" s="131">
        <v>6</v>
      </c>
      <c r="AF15" s="136">
        <v>4</v>
      </c>
      <c r="AH15" s="37"/>
    </row>
    <row r="16" spans="1:34" ht="19.5" customHeight="1" thickBot="1" thickTop="1">
      <c r="A16" s="195">
        <v>11</v>
      </c>
      <c r="B16" s="192">
        <v>1002</v>
      </c>
      <c r="C16" s="144">
        <v>126</v>
      </c>
      <c r="D16" s="181">
        <v>20</v>
      </c>
      <c r="E16" s="138">
        <v>36</v>
      </c>
      <c r="F16" s="328">
        <v>239</v>
      </c>
      <c r="G16" s="324">
        <f t="shared" si="0"/>
        <v>56.23529411764706</v>
      </c>
      <c r="H16" s="139">
        <v>4</v>
      </c>
      <c r="I16" s="138">
        <v>27</v>
      </c>
      <c r="J16" s="138" t="s">
        <v>16</v>
      </c>
      <c r="K16" s="138">
        <v>3</v>
      </c>
      <c r="L16" s="140">
        <v>2</v>
      </c>
      <c r="M16" s="139">
        <v>66</v>
      </c>
      <c r="N16" s="144">
        <v>10</v>
      </c>
      <c r="O16" s="139">
        <v>22</v>
      </c>
      <c r="P16" s="144">
        <v>5</v>
      </c>
      <c r="Q16" s="278" t="s">
        <v>16</v>
      </c>
      <c r="R16" s="134" t="s">
        <v>16</v>
      </c>
      <c r="S16" s="340">
        <v>133</v>
      </c>
      <c r="T16" s="222">
        <v>118</v>
      </c>
      <c r="U16" s="139">
        <v>4</v>
      </c>
      <c r="V16" s="276">
        <v>6</v>
      </c>
      <c r="W16" s="273">
        <v>4</v>
      </c>
      <c r="X16" s="144">
        <v>4</v>
      </c>
      <c r="Y16" s="139" t="s">
        <v>16</v>
      </c>
      <c r="Z16" s="144"/>
      <c r="AA16" s="139">
        <v>133</v>
      </c>
      <c r="AB16" s="144">
        <v>99</v>
      </c>
      <c r="AC16" s="131">
        <v>16</v>
      </c>
      <c r="AD16" s="136">
        <v>1</v>
      </c>
      <c r="AE16" s="131">
        <v>3</v>
      </c>
      <c r="AF16" s="136" t="s">
        <v>16</v>
      </c>
      <c r="AH16" s="37"/>
    </row>
    <row r="17" spans="1:34" ht="19.5" customHeight="1" thickBot="1" thickTop="1">
      <c r="A17" s="195">
        <v>12</v>
      </c>
      <c r="B17" s="192">
        <v>738</v>
      </c>
      <c r="C17" s="144">
        <v>136</v>
      </c>
      <c r="D17" s="181">
        <v>22</v>
      </c>
      <c r="E17" s="138">
        <v>23</v>
      </c>
      <c r="F17" s="328">
        <v>238</v>
      </c>
      <c r="G17" s="324">
        <f t="shared" si="0"/>
        <v>56</v>
      </c>
      <c r="H17" s="139">
        <v>8</v>
      </c>
      <c r="I17" s="138">
        <v>22</v>
      </c>
      <c r="J17" s="138" t="s">
        <v>16</v>
      </c>
      <c r="K17" s="138">
        <v>1</v>
      </c>
      <c r="L17" s="140" t="s">
        <v>16</v>
      </c>
      <c r="M17" s="139">
        <v>41</v>
      </c>
      <c r="N17" s="144">
        <v>4</v>
      </c>
      <c r="O17" s="139">
        <v>10</v>
      </c>
      <c r="P17" s="144">
        <v>7</v>
      </c>
      <c r="Q17" s="278" t="s">
        <v>16</v>
      </c>
      <c r="R17" s="134" t="s">
        <v>16</v>
      </c>
      <c r="S17" s="340">
        <v>102</v>
      </c>
      <c r="T17" s="222">
        <v>128</v>
      </c>
      <c r="U17" s="139">
        <v>8</v>
      </c>
      <c r="V17" s="276">
        <v>5</v>
      </c>
      <c r="W17" s="273">
        <v>2</v>
      </c>
      <c r="X17" s="144">
        <v>3</v>
      </c>
      <c r="Y17" s="139" t="s">
        <v>16</v>
      </c>
      <c r="Z17" s="144">
        <v>1</v>
      </c>
      <c r="AA17" s="139">
        <v>145</v>
      </c>
      <c r="AB17" s="144">
        <v>86</v>
      </c>
      <c r="AC17" s="131">
        <v>11</v>
      </c>
      <c r="AD17" s="136" t="s">
        <v>16</v>
      </c>
      <c r="AE17" s="131">
        <v>1</v>
      </c>
      <c r="AF17" s="136" t="s">
        <v>16</v>
      </c>
      <c r="AH17" s="37"/>
    </row>
    <row r="18" spans="1:36" ht="19.5" customHeight="1" thickBot="1" thickTop="1">
      <c r="A18" s="195">
        <v>13</v>
      </c>
      <c r="B18" s="192">
        <v>1158</v>
      </c>
      <c r="C18" s="144">
        <v>149</v>
      </c>
      <c r="D18" s="181">
        <v>16</v>
      </c>
      <c r="E18" s="138">
        <v>33</v>
      </c>
      <c r="F18" s="328">
        <v>221</v>
      </c>
      <c r="G18" s="324">
        <f t="shared" si="0"/>
        <v>52</v>
      </c>
      <c r="H18" s="139">
        <v>2</v>
      </c>
      <c r="I18" s="138">
        <v>27</v>
      </c>
      <c r="J18" s="138" t="s">
        <v>16</v>
      </c>
      <c r="K18" s="138" t="s">
        <v>16</v>
      </c>
      <c r="L18" s="140">
        <v>1</v>
      </c>
      <c r="M18" s="139">
        <v>49</v>
      </c>
      <c r="N18" s="144">
        <v>7</v>
      </c>
      <c r="O18" s="139">
        <v>21</v>
      </c>
      <c r="P18" s="144">
        <v>1</v>
      </c>
      <c r="Q18" s="278" t="s">
        <v>16</v>
      </c>
      <c r="R18" s="134" t="s">
        <v>16</v>
      </c>
      <c r="S18" s="340">
        <v>76</v>
      </c>
      <c r="T18" s="222">
        <v>110</v>
      </c>
      <c r="U18" s="139">
        <v>2</v>
      </c>
      <c r="V18" s="276">
        <v>4</v>
      </c>
      <c r="W18" s="273">
        <v>3</v>
      </c>
      <c r="X18" s="144">
        <v>4</v>
      </c>
      <c r="Y18" s="139" t="s">
        <v>16</v>
      </c>
      <c r="Z18" s="144"/>
      <c r="AA18" s="139">
        <v>92</v>
      </c>
      <c r="AB18" s="144">
        <v>73</v>
      </c>
      <c r="AC18" s="131" t="s">
        <v>16</v>
      </c>
      <c r="AD18" s="136" t="s">
        <v>16</v>
      </c>
      <c r="AE18" s="131">
        <v>2</v>
      </c>
      <c r="AF18" s="136" t="s">
        <v>16</v>
      </c>
      <c r="AH18" s="37"/>
      <c r="AJ18" s="76"/>
    </row>
    <row r="19" spans="1:36" ht="19.5" customHeight="1" thickBot="1" thickTop="1">
      <c r="A19" s="280">
        <v>14</v>
      </c>
      <c r="B19" s="281"/>
      <c r="C19" s="282">
        <v>196</v>
      </c>
      <c r="D19" s="283">
        <v>2</v>
      </c>
      <c r="E19" s="284">
        <v>4</v>
      </c>
      <c r="F19" s="329">
        <v>219</v>
      </c>
      <c r="G19" s="325">
        <f t="shared" si="0"/>
        <v>51.529411764705884</v>
      </c>
      <c r="H19" s="285" t="s">
        <v>16</v>
      </c>
      <c r="I19" s="284" t="s">
        <v>16</v>
      </c>
      <c r="J19" s="284" t="s">
        <v>16</v>
      </c>
      <c r="K19" s="284">
        <v>3</v>
      </c>
      <c r="L19" s="286" t="s">
        <v>16</v>
      </c>
      <c r="M19" s="285">
        <v>3</v>
      </c>
      <c r="N19" s="282">
        <v>1</v>
      </c>
      <c r="O19" s="285" t="s">
        <v>16</v>
      </c>
      <c r="P19" s="282" t="s">
        <v>16</v>
      </c>
      <c r="Q19" s="289" t="s">
        <v>16</v>
      </c>
      <c r="R19" s="290" t="s">
        <v>16</v>
      </c>
      <c r="S19" s="336" t="s">
        <v>16</v>
      </c>
      <c r="T19" s="336" t="s">
        <v>16</v>
      </c>
      <c r="U19" s="285" t="s">
        <v>16</v>
      </c>
      <c r="V19" s="291" t="s">
        <v>16</v>
      </c>
      <c r="W19" s="292" t="s">
        <v>16</v>
      </c>
      <c r="X19" s="282" t="s">
        <v>16</v>
      </c>
      <c r="Y19" s="285" t="s">
        <v>16</v>
      </c>
      <c r="Z19" s="282"/>
      <c r="AA19" s="285" t="s">
        <v>16</v>
      </c>
      <c r="AB19" s="282" t="s">
        <v>16</v>
      </c>
      <c r="AC19" s="293" t="s">
        <v>16</v>
      </c>
      <c r="AD19" s="294" t="s">
        <v>16</v>
      </c>
      <c r="AE19" s="293" t="s">
        <v>16</v>
      </c>
      <c r="AF19" s="282" t="s">
        <v>16</v>
      </c>
      <c r="AH19" s="37"/>
      <c r="AJ19" s="76"/>
    </row>
    <row r="20" spans="1:34" s="322" customFormat="1" ht="19.5" customHeight="1" thickBot="1" thickTop="1">
      <c r="A20" s="311" t="s">
        <v>73</v>
      </c>
      <c r="B20" s="312"/>
      <c r="C20" s="313">
        <v>238</v>
      </c>
      <c r="D20" s="314" t="s">
        <v>16</v>
      </c>
      <c r="E20" s="315">
        <v>8</v>
      </c>
      <c r="F20" s="330">
        <v>211</v>
      </c>
      <c r="G20" s="326">
        <f t="shared" si="0"/>
        <v>49.64705882352941</v>
      </c>
      <c r="H20" s="316">
        <v>1</v>
      </c>
      <c r="I20" s="315" t="s">
        <v>16</v>
      </c>
      <c r="J20" s="315" t="s">
        <v>16</v>
      </c>
      <c r="K20" s="315" t="s">
        <v>16</v>
      </c>
      <c r="L20" s="317">
        <v>1</v>
      </c>
      <c r="M20" s="316">
        <v>5</v>
      </c>
      <c r="N20" s="313">
        <v>2</v>
      </c>
      <c r="O20" s="316" t="s">
        <v>16</v>
      </c>
      <c r="P20" s="313" t="s">
        <v>16</v>
      </c>
      <c r="Q20" s="278" t="s">
        <v>16</v>
      </c>
      <c r="R20" s="134" t="s">
        <v>16</v>
      </c>
      <c r="S20" s="222" t="s">
        <v>16</v>
      </c>
      <c r="T20" s="222">
        <v>31</v>
      </c>
      <c r="U20" s="316" t="s">
        <v>16</v>
      </c>
      <c r="V20" s="318" t="s">
        <v>16</v>
      </c>
      <c r="W20" s="319" t="s">
        <v>16</v>
      </c>
      <c r="X20" s="313" t="s">
        <v>16</v>
      </c>
      <c r="Y20" s="316" t="s">
        <v>16</v>
      </c>
      <c r="Z20" s="313"/>
      <c r="AA20" s="316" t="s">
        <v>16</v>
      </c>
      <c r="AB20" s="313">
        <v>23</v>
      </c>
      <c r="AC20" s="320" t="s">
        <v>16</v>
      </c>
      <c r="AD20" s="321" t="s">
        <v>16</v>
      </c>
      <c r="AE20" s="320" t="s">
        <v>16</v>
      </c>
      <c r="AF20" s="321" t="s">
        <v>16</v>
      </c>
      <c r="AH20" s="323"/>
    </row>
    <row r="21" spans="1:34" s="322" customFormat="1" ht="19.5" customHeight="1" thickBot="1" thickTop="1">
      <c r="A21" s="311" t="s">
        <v>74</v>
      </c>
      <c r="B21" s="312"/>
      <c r="C21" s="313">
        <v>267</v>
      </c>
      <c r="D21" s="314">
        <v>7</v>
      </c>
      <c r="E21" s="315">
        <v>9</v>
      </c>
      <c r="F21" s="330">
        <v>209</v>
      </c>
      <c r="G21" s="326">
        <f t="shared" si="0"/>
        <v>49.1764705882353</v>
      </c>
      <c r="H21" s="316" t="s">
        <v>16</v>
      </c>
      <c r="I21" s="315" t="s">
        <v>16</v>
      </c>
      <c r="J21" s="315" t="s">
        <v>16</v>
      </c>
      <c r="K21" s="315" t="s">
        <v>16</v>
      </c>
      <c r="L21" s="317" t="s">
        <v>16</v>
      </c>
      <c r="M21" s="316">
        <v>16</v>
      </c>
      <c r="N21" s="313">
        <v>1</v>
      </c>
      <c r="O21" s="316" t="s">
        <v>16</v>
      </c>
      <c r="P21" s="313" t="s">
        <v>16</v>
      </c>
      <c r="Q21" s="278" t="s">
        <v>16</v>
      </c>
      <c r="R21" s="134" t="s">
        <v>16</v>
      </c>
      <c r="S21" s="222" t="s">
        <v>16</v>
      </c>
      <c r="T21" s="222">
        <v>41</v>
      </c>
      <c r="U21" s="316" t="s">
        <v>16</v>
      </c>
      <c r="V21" s="318" t="s">
        <v>16</v>
      </c>
      <c r="W21" s="319" t="s">
        <v>16</v>
      </c>
      <c r="X21" s="313" t="s">
        <v>16</v>
      </c>
      <c r="Y21" s="316" t="s">
        <v>16</v>
      </c>
      <c r="Z21" s="313"/>
      <c r="AA21" s="316" t="s">
        <v>16</v>
      </c>
      <c r="AB21" s="313">
        <v>85</v>
      </c>
      <c r="AC21" s="320" t="s">
        <v>16</v>
      </c>
      <c r="AD21" s="321" t="s">
        <v>16</v>
      </c>
      <c r="AE21" s="320" t="s">
        <v>16</v>
      </c>
      <c r="AF21" s="321" t="s">
        <v>16</v>
      </c>
      <c r="AH21" s="323"/>
    </row>
    <row r="22" spans="1:34" ht="19.5" customHeight="1" thickBot="1" thickTop="1">
      <c r="A22" s="195">
        <v>17</v>
      </c>
      <c r="B22" s="192">
        <v>1376</v>
      </c>
      <c r="C22" s="144">
        <v>146</v>
      </c>
      <c r="D22" s="181">
        <v>59</v>
      </c>
      <c r="E22" s="138">
        <v>35</v>
      </c>
      <c r="F22" s="328">
        <v>233</v>
      </c>
      <c r="G22" s="324">
        <f t="shared" si="0"/>
        <v>54.8235294117647</v>
      </c>
      <c r="H22" s="139">
        <v>5</v>
      </c>
      <c r="I22" s="138">
        <v>32</v>
      </c>
      <c r="J22" s="138" t="s">
        <v>16</v>
      </c>
      <c r="K22" s="138">
        <v>4</v>
      </c>
      <c r="L22" s="140">
        <v>2</v>
      </c>
      <c r="M22" s="139">
        <v>69</v>
      </c>
      <c r="N22" s="144">
        <v>23</v>
      </c>
      <c r="O22" s="139">
        <v>26</v>
      </c>
      <c r="P22" s="144">
        <v>2</v>
      </c>
      <c r="Q22" s="278" t="s">
        <v>27</v>
      </c>
      <c r="R22" s="134" t="s">
        <v>16</v>
      </c>
      <c r="S22" s="340">
        <v>143</v>
      </c>
      <c r="T22" s="222">
        <v>164</v>
      </c>
      <c r="U22" s="139">
        <v>2</v>
      </c>
      <c r="V22" s="276">
        <v>6</v>
      </c>
      <c r="W22" s="273">
        <v>6</v>
      </c>
      <c r="X22" s="144">
        <v>9</v>
      </c>
      <c r="Y22" s="139" t="s">
        <v>16</v>
      </c>
      <c r="Z22" s="144">
        <v>1</v>
      </c>
      <c r="AA22" s="139">
        <v>177</v>
      </c>
      <c r="AB22" s="144">
        <v>170</v>
      </c>
      <c r="AC22" s="131">
        <v>12</v>
      </c>
      <c r="AD22" s="136">
        <v>7</v>
      </c>
      <c r="AE22" s="131">
        <v>7</v>
      </c>
      <c r="AF22" s="136" t="s">
        <v>16</v>
      </c>
      <c r="AH22" s="37"/>
    </row>
    <row r="23" spans="1:34" ht="19.5" customHeight="1" thickBot="1" thickTop="1">
      <c r="A23" s="195">
        <v>18</v>
      </c>
      <c r="B23" s="192">
        <v>1215</v>
      </c>
      <c r="C23" s="144">
        <v>136</v>
      </c>
      <c r="D23" s="181">
        <v>34</v>
      </c>
      <c r="E23" s="138">
        <v>17</v>
      </c>
      <c r="F23" s="328">
        <v>253</v>
      </c>
      <c r="G23" s="324">
        <f t="shared" si="0"/>
        <v>59.529411764705884</v>
      </c>
      <c r="H23" s="139">
        <v>10</v>
      </c>
      <c r="I23" s="138">
        <v>29</v>
      </c>
      <c r="J23" s="138" t="s">
        <v>16</v>
      </c>
      <c r="K23" s="138">
        <v>2</v>
      </c>
      <c r="L23" s="140">
        <v>1</v>
      </c>
      <c r="M23" s="139">
        <v>81</v>
      </c>
      <c r="N23" s="144">
        <v>6</v>
      </c>
      <c r="O23" s="139">
        <v>18</v>
      </c>
      <c r="P23" s="144">
        <v>9</v>
      </c>
      <c r="Q23" s="278" t="s">
        <v>27</v>
      </c>
      <c r="R23" s="134" t="s">
        <v>16</v>
      </c>
      <c r="S23" s="340">
        <v>135</v>
      </c>
      <c r="T23" s="222">
        <v>272</v>
      </c>
      <c r="U23" s="139">
        <v>4</v>
      </c>
      <c r="V23" s="276">
        <v>9</v>
      </c>
      <c r="W23" s="273">
        <v>4</v>
      </c>
      <c r="X23" s="144">
        <v>8</v>
      </c>
      <c r="Y23" s="139" t="s">
        <v>16</v>
      </c>
      <c r="Z23" s="144"/>
      <c r="AA23" s="139">
        <v>174</v>
      </c>
      <c r="AB23" s="144">
        <v>183</v>
      </c>
      <c r="AC23" s="131">
        <v>1</v>
      </c>
      <c r="AD23" s="136">
        <v>3</v>
      </c>
      <c r="AE23" s="131">
        <v>9</v>
      </c>
      <c r="AF23" s="136" t="s">
        <v>16</v>
      </c>
      <c r="AH23" s="37"/>
    </row>
    <row r="24" spans="1:34" ht="19.5" customHeight="1" thickBot="1" thickTop="1">
      <c r="A24" s="195">
        <v>19</v>
      </c>
      <c r="B24" s="192">
        <v>972</v>
      </c>
      <c r="C24" s="144">
        <v>144</v>
      </c>
      <c r="D24" s="181">
        <v>37</v>
      </c>
      <c r="E24" s="138">
        <v>6</v>
      </c>
      <c r="F24" s="328">
        <v>264</v>
      </c>
      <c r="G24" s="324">
        <f t="shared" si="0"/>
        <v>62.11764705882353</v>
      </c>
      <c r="H24" s="139">
        <v>8</v>
      </c>
      <c r="I24" s="138">
        <v>22</v>
      </c>
      <c r="J24" s="138" t="s">
        <v>16</v>
      </c>
      <c r="K24" s="138">
        <v>5</v>
      </c>
      <c r="L24" s="140">
        <v>2</v>
      </c>
      <c r="M24" s="139">
        <v>47</v>
      </c>
      <c r="N24" s="144">
        <v>8</v>
      </c>
      <c r="O24" s="139">
        <v>17</v>
      </c>
      <c r="P24" s="144">
        <v>8</v>
      </c>
      <c r="Q24" s="278" t="s">
        <v>16</v>
      </c>
      <c r="R24" s="134" t="s">
        <v>16</v>
      </c>
      <c r="S24" s="340">
        <v>159</v>
      </c>
      <c r="T24" s="222">
        <v>175</v>
      </c>
      <c r="U24" s="139">
        <v>2</v>
      </c>
      <c r="V24" s="276">
        <v>9</v>
      </c>
      <c r="W24" s="273">
        <v>13</v>
      </c>
      <c r="X24" s="144">
        <v>8</v>
      </c>
      <c r="Y24" s="139" t="s">
        <v>16</v>
      </c>
      <c r="Z24" s="144"/>
      <c r="AA24" s="139">
        <v>224</v>
      </c>
      <c r="AB24" s="144">
        <v>143</v>
      </c>
      <c r="AC24" s="131">
        <v>1</v>
      </c>
      <c r="AD24" s="136" t="s">
        <v>16</v>
      </c>
      <c r="AE24" s="131">
        <v>3</v>
      </c>
      <c r="AF24" s="136">
        <v>1</v>
      </c>
      <c r="AH24" s="37"/>
    </row>
    <row r="25" spans="1:34" ht="19.5" customHeight="1" thickBot="1" thickTop="1">
      <c r="A25" s="195">
        <v>20</v>
      </c>
      <c r="B25" s="192">
        <v>1153</v>
      </c>
      <c r="C25" s="144">
        <v>140</v>
      </c>
      <c r="D25" s="181">
        <v>45</v>
      </c>
      <c r="E25" s="138">
        <v>39</v>
      </c>
      <c r="F25" s="328">
        <v>270</v>
      </c>
      <c r="G25" s="324">
        <f t="shared" si="0"/>
        <v>63.529411764705884</v>
      </c>
      <c r="H25" s="139">
        <v>5</v>
      </c>
      <c r="I25" s="138">
        <v>26</v>
      </c>
      <c r="J25" s="138" t="s">
        <v>16</v>
      </c>
      <c r="K25" s="138" t="s">
        <v>16</v>
      </c>
      <c r="L25" s="140">
        <v>1</v>
      </c>
      <c r="M25" s="139">
        <v>75</v>
      </c>
      <c r="N25" s="144">
        <v>16</v>
      </c>
      <c r="O25" s="139">
        <v>19</v>
      </c>
      <c r="P25" s="144">
        <v>7</v>
      </c>
      <c r="Q25" s="278" t="s">
        <v>16</v>
      </c>
      <c r="R25" s="134" t="s">
        <v>16</v>
      </c>
      <c r="S25" s="340">
        <v>147</v>
      </c>
      <c r="T25" s="222">
        <v>225</v>
      </c>
      <c r="U25" s="139">
        <v>5</v>
      </c>
      <c r="V25" s="276">
        <v>15</v>
      </c>
      <c r="W25" s="273">
        <v>9</v>
      </c>
      <c r="X25" s="144">
        <v>4</v>
      </c>
      <c r="Y25" s="139">
        <v>1</v>
      </c>
      <c r="Z25" s="144">
        <v>1</v>
      </c>
      <c r="AA25" s="139">
        <v>142</v>
      </c>
      <c r="AB25" s="144">
        <v>117</v>
      </c>
      <c r="AC25" s="131" t="s">
        <v>16</v>
      </c>
      <c r="AD25" s="136" t="s">
        <v>16</v>
      </c>
      <c r="AE25" s="131">
        <v>2</v>
      </c>
      <c r="AF25" s="136" t="s">
        <v>16</v>
      </c>
      <c r="AH25" s="37"/>
    </row>
    <row r="26" spans="1:34" s="295" customFormat="1" ht="19.5" customHeight="1" thickBot="1" thickTop="1">
      <c r="A26" s="280">
        <v>21</v>
      </c>
      <c r="B26" s="281"/>
      <c r="C26" s="282">
        <v>222</v>
      </c>
      <c r="D26" s="283">
        <v>3</v>
      </c>
      <c r="E26" s="284">
        <v>6</v>
      </c>
      <c r="F26" s="329">
        <v>267</v>
      </c>
      <c r="G26" s="325">
        <f t="shared" si="0"/>
        <v>62.8235294117647</v>
      </c>
      <c r="H26" s="285" t="s">
        <v>16</v>
      </c>
      <c r="I26" s="284" t="s">
        <v>16</v>
      </c>
      <c r="J26" s="284" t="s">
        <v>16</v>
      </c>
      <c r="K26" s="284" t="s">
        <v>16</v>
      </c>
      <c r="L26" s="286" t="s">
        <v>16</v>
      </c>
      <c r="M26" s="285">
        <v>10</v>
      </c>
      <c r="N26" s="282">
        <v>1</v>
      </c>
      <c r="O26" s="285" t="s">
        <v>16</v>
      </c>
      <c r="P26" s="282" t="s">
        <v>16</v>
      </c>
      <c r="Q26" s="289" t="s">
        <v>16</v>
      </c>
      <c r="R26" s="290" t="s">
        <v>16</v>
      </c>
      <c r="S26" s="336" t="s">
        <v>16</v>
      </c>
      <c r="T26" s="336" t="s">
        <v>16</v>
      </c>
      <c r="U26" s="285" t="s">
        <v>16</v>
      </c>
      <c r="V26" s="291" t="s">
        <v>16</v>
      </c>
      <c r="W26" s="292" t="s">
        <v>16</v>
      </c>
      <c r="X26" s="282" t="s">
        <v>16</v>
      </c>
      <c r="Y26" s="285" t="s">
        <v>16</v>
      </c>
      <c r="Z26" s="282"/>
      <c r="AA26" s="285" t="s">
        <v>16</v>
      </c>
      <c r="AB26" s="282" t="s">
        <v>16</v>
      </c>
      <c r="AC26" s="293" t="s">
        <v>16</v>
      </c>
      <c r="AD26" s="294" t="s">
        <v>16</v>
      </c>
      <c r="AE26" s="293" t="s">
        <v>16</v>
      </c>
      <c r="AF26" s="294" t="s">
        <v>16</v>
      </c>
      <c r="AH26" s="296"/>
    </row>
    <row r="27" spans="1:135" s="128" customFormat="1" ht="19.5" customHeight="1" thickBot="1" thickTop="1">
      <c r="A27" s="195">
        <v>22</v>
      </c>
      <c r="B27" s="192">
        <v>1401</v>
      </c>
      <c r="C27" s="144">
        <v>158</v>
      </c>
      <c r="D27" s="181">
        <v>50</v>
      </c>
      <c r="E27" s="138">
        <v>31</v>
      </c>
      <c r="F27" s="328">
        <v>286</v>
      </c>
      <c r="G27" s="324">
        <f t="shared" si="0"/>
        <v>67.29411764705883</v>
      </c>
      <c r="H27" s="139">
        <v>11</v>
      </c>
      <c r="I27" s="138">
        <v>36</v>
      </c>
      <c r="J27" s="138" t="s">
        <v>16</v>
      </c>
      <c r="K27" s="138" t="s">
        <v>16</v>
      </c>
      <c r="L27" s="140">
        <v>1</v>
      </c>
      <c r="M27" s="139">
        <v>91</v>
      </c>
      <c r="N27" s="144">
        <v>18</v>
      </c>
      <c r="O27" s="139">
        <v>15</v>
      </c>
      <c r="P27" s="144">
        <v>9</v>
      </c>
      <c r="Q27" s="278" t="s">
        <v>16</v>
      </c>
      <c r="R27" s="134" t="s">
        <v>16</v>
      </c>
      <c r="S27" s="340">
        <v>197</v>
      </c>
      <c r="T27" s="222">
        <v>284</v>
      </c>
      <c r="U27" s="139">
        <v>3</v>
      </c>
      <c r="V27" s="276">
        <v>12</v>
      </c>
      <c r="W27" s="273">
        <v>5</v>
      </c>
      <c r="X27" s="144">
        <v>3</v>
      </c>
      <c r="Y27" s="139" t="s">
        <v>16</v>
      </c>
      <c r="Z27" s="144">
        <v>1</v>
      </c>
      <c r="AA27" s="139">
        <v>268</v>
      </c>
      <c r="AB27" s="144">
        <v>296</v>
      </c>
      <c r="AC27" s="131">
        <v>1</v>
      </c>
      <c r="AD27" s="136">
        <v>4</v>
      </c>
      <c r="AE27" s="131">
        <v>4</v>
      </c>
      <c r="AF27" s="144">
        <v>1</v>
      </c>
      <c r="AG27" s="9"/>
      <c r="AH27" s="37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34" ht="19.5" customHeight="1" thickBot="1" thickTop="1">
      <c r="A28" s="195">
        <v>23</v>
      </c>
      <c r="B28" s="192">
        <v>1128</v>
      </c>
      <c r="C28" s="144">
        <v>139</v>
      </c>
      <c r="D28" s="181">
        <v>31</v>
      </c>
      <c r="E28" s="138">
        <v>26</v>
      </c>
      <c r="F28" s="328">
        <v>291</v>
      </c>
      <c r="G28" s="324">
        <f t="shared" si="0"/>
        <v>68.47058823529412</v>
      </c>
      <c r="H28" s="139">
        <v>4</v>
      </c>
      <c r="I28" s="138">
        <v>20</v>
      </c>
      <c r="J28" s="138" t="s">
        <v>16</v>
      </c>
      <c r="K28" s="138">
        <v>1</v>
      </c>
      <c r="L28" s="140" t="s">
        <v>16</v>
      </c>
      <c r="M28" s="139">
        <v>64</v>
      </c>
      <c r="N28" s="144">
        <v>7</v>
      </c>
      <c r="O28" s="139">
        <v>21</v>
      </c>
      <c r="P28" s="144">
        <v>5</v>
      </c>
      <c r="Q28" s="278" t="s">
        <v>16</v>
      </c>
      <c r="R28" s="134" t="s">
        <v>16</v>
      </c>
      <c r="S28" s="340">
        <v>152</v>
      </c>
      <c r="T28" s="222">
        <v>268</v>
      </c>
      <c r="U28" s="139">
        <v>5</v>
      </c>
      <c r="V28" s="276">
        <v>10</v>
      </c>
      <c r="W28" s="273">
        <v>9</v>
      </c>
      <c r="X28" s="144">
        <v>5</v>
      </c>
      <c r="Y28" s="139" t="s">
        <v>16</v>
      </c>
      <c r="Z28" s="144">
        <v>1</v>
      </c>
      <c r="AA28" s="139">
        <v>157</v>
      </c>
      <c r="AB28" s="144">
        <v>193</v>
      </c>
      <c r="AC28" s="131">
        <v>3</v>
      </c>
      <c r="AD28" s="136">
        <v>1</v>
      </c>
      <c r="AE28" s="131">
        <v>5</v>
      </c>
      <c r="AF28" s="136" t="s">
        <v>16</v>
      </c>
      <c r="AH28" s="37"/>
    </row>
    <row r="29" spans="1:34" ht="19.5" customHeight="1" thickBot="1" thickTop="1">
      <c r="A29" s="195">
        <v>24</v>
      </c>
      <c r="B29" s="192">
        <v>1137</v>
      </c>
      <c r="C29" s="144">
        <v>123</v>
      </c>
      <c r="D29" s="181">
        <v>32</v>
      </c>
      <c r="E29" s="138">
        <v>27</v>
      </c>
      <c r="F29" s="328">
        <v>295</v>
      </c>
      <c r="G29" s="324">
        <f t="shared" si="0"/>
        <v>69.41176470588235</v>
      </c>
      <c r="H29" s="139">
        <v>8</v>
      </c>
      <c r="I29" s="138">
        <v>26</v>
      </c>
      <c r="J29" s="138" t="s">
        <v>16</v>
      </c>
      <c r="K29" s="138">
        <v>4</v>
      </c>
      <c r="L29" s="140"/>
      <c r="M29" s="139">
        <v>52</v>
      </c>
      <c r="N29" s="144">
        <v>16</v>
      </c>
      <c r="O29" s="139">
        <v>21</v>
      </c>
      <c r="P29" s="144">
        <v>5</v>
      </c>
      <c r="Q29" s="278" t="s">
        <v>16</v>
      </c>
      <c r="R29" s="134" t="s">
        <v>27</v>
      </c>
      <c r="S29" s="340">
        <v>112</v>
      </c>
      <c r="T29" s="222">
        <v>177</v>
      </c>
      <c r="U29" s="139">
        <v>6</v>
      </c>
      <c r="V29" s="276">
        <v>7</v>
      </c>
      <c r="W29" s="273">
        <v>5</v>
      </c>
      <c r="X29" s="144">
        <v>1</v>
      </c>
      <c r="Y29" s="139" t="s">
        <v>16</v>
      </c>
      <c r="Z29" s="144"/>
      <c r="AA29" s="139">
        <v>133</v>
      </c>
      <c r="AB29" s="144">
        <v>180</v>
      </c>
      <c r="AC29" s="131">
        <v>3</v>
      </c>
      <c r="AD29" s="136">
        <v>11</v>
      </c>
      <c r="AE29" s="131">
        <v>1</v>
      </c>
      <c r="AF29" s="136">
        <v>1</v>
      </c>
      <c r="AH29" s="37"/>
    </row>
    <row r="30" spans="1:34" ht="19.5" customHeight="1" thickBot="1" thickTop="1">
      <c r="A30" s="195">
        <v>25</v>
      </c>
      <c r="B30" s="192">
        <v>1148</v>
      </c>
      <c r="C30" s="144">
        <v>151</v>
      </c>
      <c r="D30" s="181">
        <v>24</v>
      </c>
      <c r="E30" s="138">
        <v>32</v>
      </c>
      <c r="F30" s="328">
        <v>287</v>
      </c>
      <c r="G30" s="324">
        <f t="shared" si="0"/>
        <v>67.52941176470588</v>
      </c>
      <c r="H30" s="139">
        <v>9</v>
      </c>
      <c r="I30" s="138">
        <v>28</v>
      </c>
      <c r="J30" s="138" t="s">
        <v>16</v>
      </c>
      <c r="K30" s="138" t="s">
        <v>16</v>
      </c>
      <c r="L30" s="140" t="s">
        <v>16</v>
      </c>
      <c r="M30" s="139">
        <v>64</v>
      </c>
      <c r="N30" s="144">
        <v>7</v>
      </c>
      <c r="O30" s="139">
        <v>21</v>
      </c>
      <c r="P30" s="144">
        <v>6</v>
      </c>
      <c r="Q30" s="278" t="s">
        <v>16</v>
      </c>
      <c r="R30" s="134" t="s">
        <v>16</v>
      </c>
      <c r="S30" s="340">
        <v>197</v>
      </c>
      <c r="T30" s="222">
        <v>306</v>
      </c>
      <c r="U30" s="139">
        <v>9</v>
      </c>
      <c r="V30" s="276">
        <v>8</v>
      </c>
      <c r="W30" s="273">
        <v>8</v>
      </c>
      <c r="X30" s="144">
        <v>6</v>
      </c>
      <c r="Y30" s="139">
        <v>2</v>
      </c>
      <c r="Z30" s="144">
        <v>1</v>
      </c>
      <c r="AA30" s="139">
        <v>130</v>
      </c>
      <c r="AB30" s="144">
        <v>159</v>
      </c>
      <c r="AC30" s="131" t="s">
        <v>16</v>
      </c>
      <c r="AD30" s="136">
        <v>5</v>
      </c>
      <c r="AE30" s="131">
        <v>3</v>
      </c>
      <c r="AF30" s="136" t="s">
        <v>16</v>
      </c>
      <c r="AH30" s="37"/>
    </row>
    <row r="31" spans="1:33" ht="19.5" customHeight="1" thickBot="1" thickTop="1">
      <c r="A31" s="195">
        <v>26</v>
      </c>
      <c r="B31" s="192">
        <v>915</v>
      </c>
      <c r="C31" s="144">
        <v>137</v>
      </c>
      <c r="D31" s="181">
        <v>26</v>
      </c>
      <c r="E31" s="138">
        <v>20</v>
      </c>
      <c r="F31" s="328">
        <v>293</v>
      </c>
      <c r="G31" s="324">
        <f t="shared" si="0"/>
        <v>68.94117647058823</v>
      </c>
      <c r="H31" s="139">
        <v>9</v>
      </c>
      <c r="I31" s="138">
        <v>25</v>
      </c>
      <c r="J31" s="138" t="s">
        <v>16</v>
      </c>
      <c r="K31" s="138" t="s">
        <v>16</v>
      </c>
      <c r="L31" s="140" t="s">
        <v>16</v>
      </c>
      <c r="M31" s="139">
        <v>36</v>
      </c>
      <c r="N31" s="144">
        <v>14</v>
      </c>
      <c r="O31" s="139">
        <v>20</v>
      </c>
      <c r="P31" s="144">
        <v>4</v>
      </c>
      <c r="Q31" s="278" t="s">
        <v>16</v>
      </c>
      <c r="R31" s="134" t="s">
        <v>16</v>
      </c>
      <c r="S31" s="341">
        <v>100</v>
      </c>
      <c r="T31" s="222">
        <v>179</v>
      </c>
      <c r="U31" s="139">
        <v>2</v>
      </c>
      <c r="V31" s="276">
        <v>13</v>
      </c>
      <c r="W31" s="273">
        <v>15</v>
      </c>
      <c r="X31" s="144">
        <v>7</v>
      </c>
      <c r="Y31" s="139" t="s">
        <v>16</v>
      </c>
      <c r="Z31" s="144"/>
      <c r="AA31" s="139">
        <v>136</v>
      </c>
      <c r="AB31" s="144">
        <v>145</v>
      </c>
      <c r="AC31" s="131">
        <v>3</v>
      </c>
      <c r="AD31" s="136">
        <v>2</v>
      </c>
      <c r="AE31" s="131">
        <v>3</v>
      </c>
      <c r="AF31" s="136" t="s">
        <v>16</v>
      </c>
      <c r="AG31" s="37"/>
    </row>
    <row r="32" spans="1:33" ht="19.5" customHeight="1" thickBot="1" thickTop="1">
      <c r="A32" s="195">
        <v>27</v>
      </c>
      <c r="B32" s="192">
        <v>1110</v>
      </c>
      <c r="C32" s="144">
        <v>172</v>
      </c>
      <c r="D32" s="181">
        <v>30</v>
      </c>
      <c r="E32" s="138">
        <v>47</v>
      </c>
      <c r="F32" s="328">
        <v>276</v>
      </c>
      <c r="G32" s="324">
        <f t="shared" si="0"/>
        <v>64.94117647058823</v>
      </c>
      <c r="H32" s="139">
        <v>1</v>
      </c>
      <c r="I32" s="138">
        <v>22</v>
      </c>
      <c r="J32" s="138" t="s">
        <v>16</v>
      </c>
      <c r="K32" s="138">
        <v>2</v>
      </c>
      <c r="L32" s="140" t="s">
        <v>16</v>
      </c>
      <c r="M32" s="139">
        <v>41</v>
      </c>
      <c r="N32" s="144">
        <v>6</v>
      </c>
      <c r="O32" s="139">
        <v>16</v>
      </c>
      <c r="P32" s="144">
        <v>5</v>
      </c>
      <c r="Q32" s="278" t="s">
        <v>16</v>
      </c>
      <c r="R32" s="134" t="s">
        <v>16</v>
      </c>
      <c r="S32" s="340">
        <v>75</v>
      </c>
      <c r="T32" s="222">
        <v>208</v>
      </c>
      <c r="U32" s="139">
        <v>4</v>
      </c>
      <c r="V32" s="276">
        <v>7</v>
      </c>
      <c r="W32" s="273">
        <v>4</v>
      </c>
      <c r="X32" s="144" t="s">
        <v>16</v>
      </c>
      <c r="Y32" s="139" t="s">
        <v>16</v>
      </c>
      <c r="Z32" s="144"/>
      <c r="AA32" s="139">
        <v>131</v>
      </c>
      <c r="AB32" s="144">
        <v>142</v>
      </c>
      <c r="AC32" s="131" t="s">
        <v>16</v>
      </c>
      <c r="AD32" s="136" t="s">
        <v>16</v>
      </c>
      <c r="AE32" s="131">
        <v>3</v>
      </c>
      <c r="AF32" s="136" t="s">
        <v>16</v>
      </c>
      <c r="AG32" s="37"/>
    </row>
    <row r="33" spans="1:33" s="295" customFormat="1" ht="19.5" customHeight="1" thickBot="1" thickTop="1">
      <c r="A33" s="280">
        <v>28</v>
      </c>
      <c r="B33" s="297"/>
      <c r="C33" s="298">
        <v>241</v>
      </c>
      <c r="D33" s="299">
        <v>4</v>
      </c>
      <c r="E33" s="300">
        <v>4</v>
      </c>
      <c r="F33" s="331">
        <v>276</v>
      </c>
      <c r="G33" s="325">
        <f t="shared" si="0"/>
        <v>64.94117647058823</v>
      </c>
      <c r="H33" s="301">
        <v>1</v>
      </c>
      <c r="I33" s="300" t="s">
        <v>16</v>
      </c>
      <c r="J33" s="300" t="s">
        <v>16</v>
      </c>
      <c r="K33" s="300">
        <v>2</v>
      </c>
      <c r="L33" s="302" t="s">
        <v>16</v>
      </c>
      <c r="M33" s="301">
        <v>5</v>
      </c>
      <c r="N33" s="298">
        <v>1</v>
      </c>
      <c r="O33" s="301" t="s">
        <v>16</v>
      </c>
      <c r="P33" s="298" t="s">
        <v>16</v>
      </c>
      <c r="Q33" s="289" t="s">
        <v>16</v>
      </c>
      <c r="R33" s="290" t="s">
        <v>16</v>
      </c>
      <c r="S33" s="336" t="s">
        <v>16</v>
      </c>
      <c r="T33" s="336" t="s">
        <v>16</v>
      </c>
      <c r="U33" s="301" t="s">
        <v>16</v>
      </c>
      <c r="V33" s="303" t="s">
        <v>16</v>
      </c>
      <c r="W33" s="304" t="s">
        <v>16</v>
      </c>
      <c r="X33" s="298" t="s">
        <v>16</v>
      </c>
      <c r="Y33" s="301" t="s">
        <v>16</v>
      </c>
      <c r="Z33" s="282"/>
      <c r="AA33" s="301" t="s">
        <v>16</v>
      </c>
      <c r="AB33" s="298" t="s">
        <v>16</v>
      </c>
      <c r="AC33" s="293" t="s">
        <v>16</v>
      </c>
      <c r="AD33" s="294" t="s">
        <v>16</v>
      </c>
      <c r="AE33" s="293" t="s">
        <v>16</v>
      </c>
      <c r="AF33" s="294" t="s">
        <v>16</v>
      </c>
      <c r="AG33" s="296"/>
    </row>
    <row r="34" spans="1:135" s="128" customFormat="1" ht="19.5" customHeight="1" thickBot="1" thickTop="1">
      <c r="A34" s="195">
        <v>29</v>
      </c>
      <c r="B34" s="192">
        <v>1285</v>
      </c>
      <c r="C34" s="144">
        <v>153</v>
      </c>
      <c r="D34" s="181">
        <v>48</v>
      </c>
      <c r="E34" s="138">
        <v>57</v>
      </c>
      <c r="F34" s="328">
        <v>267</v>
      </c>
      <c r="G34" s="324">
        <f t="shared" si="0"/>
        <v>62.8235294117647</v>
      </c>
      <c r="H34" s="139">
        <v>7</v>
      </c>
      <c r="I34" s="138">
        <v>18</v>
      </c>
      <c r="J34" s="138" t="s">
        <v>60</v>
      </c>
      <c r="K34" s="138">
        <v>2</v>
      </c>
      <c r="L34" s="140">
        <v>2</v>
      </c>
      <c r="M34" s="139">
        <v>75</v>
      </c>
      <c r="N34" s="144">
        <v>10</v>
      </c>
      <c r="O34" s="139">
        <v>20</v>
      </c>
      <c r="P34" s="144">
        <v>5</v>
      </c>
      <c r="Q34" s="278" t="s">
        <v>16</v>
      </c>
      <c r="R34" s="134" t="s">
        <v>16</v>
      </c>
      <c r="S34" s="340">
        <v>170</v>
      </c>
      <c r="T34" s="222">
        <v>218</v>
      </c>
      <c r="U34" s="139">
        <v>5</v>
      </c>
      <c r="V34" s="276">
        <v>8</v>
      </c>
      <c r="W34" s="273">
        <v>11</v>
      </c>
      <c r="X34" s="144">
        <v>5</v>
      </c>
      <c r="Y34" s="139" t="s">
        <v>16</v>
      </c>
      <c r="Z34" s="144"/>
      <c r="AA34" s="139">
        <v>211</v>
      </c>
      <c r="AB34" s="144">
        <v>195</v>
      </c>
      <c r="AC34" s="131">
        <v>4</v>
      </c>
      <c r="AD34" s="136">
        <v>4</v>
      </c>
      <c r="AE34" s="131">
        <v>6</v>
      </c>
      <c r="AF34" s="136">
        <v>1</v>
      </c>
      <c r="AG34" s="37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</row>
    <row r="35" spans="1:33" ht="19.5" customHeight="1" thickBot="1" thickTop="1">
      <c r="A35" s="195">
        <v>30</v>
      </c>
      <c r="B35" s="197">
        <v>1113</v>
      </c>
      <c r="C35" s="161">
        <v>145</v>
      </c>
      <c r="D35" s="184">
        <v>35</v>
      </c>
      <c r="E35" s="154">
        <v>39</v>
      </c>
      <c r="F35" s="332">
        <v>263</v>
      </c>
      <c r="G35" s="324">
        <f t="shared" si="0"/>
        <v>61.88235294117647</v>
      </c>
      <c r="H35" s="156">
        <v>9</v>
      </c>
      <c r="I35" s="154">
        <v>24</v>
      </c>
      <c r="J35" s="154" t="s">
        <v>16</v>
      </c>
      <c r="K35" s="154">
        <v>2</v>
      </c>
      <c r="L35" s="157">
        <v>1</v>
      </c>
      <c r="M35" s="156">
        <v>66</v>
      </c>
      <c r="N35" s="161">
        <v>10</v>
      </c>
      <c r="O35" s="156">
        <v>19</v>
      </c>
      <c r="P35" s="161">
        <v>9</v>
      </c>
      <c r="Q35" s="278" t="s">
        <v>16</v>
      </c>
      <c r="R35" s="134" t="s">
        <v>16</v>
      </c>
      <c r="S35" s="342">
        <v>188</v>
      </c>
      <c r="T35" s="337">
        <v>247</v>
      </c>
      <c r="U35" s="156">
        <v>4</v>
      </c>
      <c r="V35" s="277">
        <v>4</v>
      </c>
      <c r="W35" s="279">
        <v>4</v>
      </c>
      <c r="X35" s="161">
        <v>8</v>
      </c>
      <c r="Y35" s="156">
        <v>1</v>
      </c>
      <c r="Z35" s="161">
        <v>1</v>
      </c>
      <c r="AA35" s="156">
        <v>173</v>
      </c>
      <c r="AB35" s="161">
        <v>166</v>
      </c>
      <c r="AC35" s="131">
        <v>3</v>
      </c>
      <c r="AD35" s="136">
        <v>6</v>
      </c>
      <c r="AE35" s="131">
        <v>8</v>
      </c>
      <c r="AF35" s="136">
        <v>2</v>
      </c>
      <c r="AG35" s="37"/>
    </row>
    <row r="36" spans="1:33" ht="19.5" customHeight="1" thickBot="1" thickTop="1">
      <c r="A36" s="195" t="s">
        <v>75</v>
      </c>
      <c r="B36" s="197">
        <v>344</v>
      </c>
      <c r="C36" s="161">
        <v>180</v>
      </c>
      <c r="D36" s="184">
        <v>14</v>
      </c>
      <c r="E36" s="154">
        <v>16</v>
      </c>
      <c r="F36" s="333">
        <v>261</v>
      </c>
      <c r="G36" s="324">
        <f t="shared" si="0"/>
        <v>61.411764705882355</v>
      </c>
      <c r="H36" s="156" t="s">
        <v>16</v>
      </c>
      <c r="I36" s="154">
        <v>16</v>
      </c>
      <c r="J36" s="154" t="s">
        <v>16</v>
      </c>
      <c r="K36" s="154">
        <v>3</v>
      </c>
      <c r="L36" s="157" t="s">
        <v>16</v>
      </c>
      <c r="M36" s="156">
        <v>16</v>
      </c>
      <c r="N36" s="161">
        <v>6</v>
      </c>
      <c r="O36" s="156" t="s">
        <v>16</v>
      </c>
      <c r="P36" s="334" t="s">
        <v>16</v>
      </c>
      <c r="Q36" s="278" t="s">
        <v>16</v>
      </c>
      <c r="R36" s="134" t="s">
        <v>16</v>
      </c>
      <c r="S36" s="343">
        <v>25</v>
      </c>
      <c r="T36" s="338">
        <v>150</v>
      </c>
      <c r="U36" s="156">
        <v>2</v>
      </c>
      <c r="V36" s="277">
        <v>1</v>
      </c>
      <c r="W36" s="279">
        <v>1</v>
      </c>
      <c r="X36" s="161"/>
      <c r="Y36" s="156" t="s">
        <v>16</v>
      </c>
      <c r="Z36" s="161"/>
      <c r="AA36" s="156">
        <v>48</v>
      </c>
      <c r="AB36" s="161">
        <v>89</v>
      </c>
      <c r="AC36" s="131" t="s">
        <v>16</v>
      </c>
      <c r="AD36" s="136" t="s">
        <v>16</v>
      </c>
      <c r="AE36" s="131">
        <v>2</v>
      </c>
      <c r="AF36" s="136" t="s">
        <v>16</v>
      </c>
      <c r="AG36" s="37"/>
    </row>
    <row r="37" spans="1:33" ht="19.5" customHeight="1" thickBot="1" thickTop="1">
      <c r="A37" s="199" t="s">
        <v>22</v>
      </c>
      <c r="B37" s="306">
        <f aca="true" t="shared" si="1" ref="B37:P37">SUM(B6:B36)</f>
        <v>26856</v>
      </c>
      <c r="C37" s="231">
        <f t="shared" si="1"/>
        <v>4647</v>
      </c>
      <c r="D37" s="307">
        <f t="shared" si="1"/>
        <v>808</v>
      </c>
      <c r="E37" s="306">
        <f t="shared" si="1"/>
        <v>845</v>
      </c>
      <c r="F37" s="306">
        <f t="shared" si="1"/>
        <v>8021</v>
      </c>
      <c r="G37" s="308">
        <f t="shared" si="1"/>
        <v>1887.294117647059</v>
      </c>
      <c r="H37" s="231">
        <f t="shared" si="1"/>
        <v>173</v>
      </c>
      <c r="I37" s="307">
        <f t="shared" si="1"/>
        <v>595</v>
      </c>
      <c r="J37" s="231" t="s">
        <v>79</v>
      </c>
      <c r="K37" s="307">
        <f>SUM(K6:K36)</f>
        <v>45</v>
      </c>
      <c r="L37" s="231">
        <f t="shared" si="1"/>
        <v>21</v>
      </c>
      <c r="M37" s="260">
        <f t="shared" si="1"/>
        <v>1459</v>
      </c>
      <c r="N37" s="260">
        <f t="shared" si="1"/>
        <v>262</v>
      </c>
      <c r="O37" s="307">
        <f t="shared" si="1"/>
        <v>457</v>
      </c>
      <c r="P37" s="231">
        <f t="shared" si="1"/>
        <v>144</v>
      </c>
      <c r="Q37" s="310" t="s">
        <v>40</v>
      </c>
      <c r="R37" s="309" t="s">
        <v>27</v>
      </c>
      <c r="S37" s="306">
        <f aca="true" t="shared" si="2" ref="S37:AB37">SUM(S6:S36)</f>
        <v>3402</v>
      </c>
      <c r="T37" s="231">
        <f t="shared" si="2"/>
        <v>4813</v>
      </c>
      <c r="U37" s="218">
        <f>SUM(U6:U36)</f>
        <v>94</v>
      </c>
      <c r="V37" s="215">
        <f t="shared" si="2"/>
        <v>160</v>
      </c>
      <c r="W37" s="218">
        <f t="shared" si="2"/>
        <v>179</v>
      </c>
      <c r="X37" s="162">
        <f t="shared" si="2"/>
        <v>100</v>
      </c>
      <c r="Y37" s="175">
        <f t="shared" si="2"/>
        <v>9</v>
      </c>
      <c r="Z37" s="162">
        <f t="shared" si="2"/>
        <v>20</v>
      </c>
      <c r="AA37" s="175">
        <f t="shared" si="2"/>
        <v>3713</v>
      </c>
      <c r="AB37" s="162">
        <f t="shared" si="2"/>
        <v>3812</v>
      </c>
      <c r="AC37" s="175">
        <f>SUM(AC7:AC36)</f>
        <v>104</v>
      </c>
      <c r="AD37" s="162">
        <f>SUM(AD6:AD36)</f>
        <v>55</v>
      </c>
      <c r="AE37" s="175">
        <f>SUM(AE6:AE36)</f>
        <v>98</v>
      </c>
      <c r="AF37" s="162">
        <f>SUM(AF6:AF36)</f>
        <v>11</v>
      </c>
      <c r="AG37" s="37"/>
    </row>
    <row r="38" spans="1:33" ht="18.75" thickTop="1">
      <c r="A38" s="217" t="s">
        <v>162</v>
      </c>
      <c r="B38" s="40"/>
      <c r="C38" s="40"/>
      <c r="D38" s="40"/>
      <c r="E38" s="40"/>
      <c r="F38" s="39"/>
      <c r="G38" s="681">
        <f>G37/31</f>
        <v>60.88045540796965</v>
      </c>
      <c r="H38" s="39"/>
      <c r="I38" s="39"/>
      <c r="J38" s="39"/>
      <c r="K38" s="39"/>
      <c r="L38" s="106"/>
      <c r="M38" s="107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7"/>
    </row>
    <row r="39" spans="1:33" ht="20.25">
      <c r="A39" s="536" t="s">
        <v>76</v>
      </c>
      <c r="B39" s="536"/>
      <c r="C39" s="536"/>
      <c r="D39" s="597" t="s">
        <v>77</v>
      </c>
      <c r="E39" s="597"/>
      <c r="F39" s="597"/>
      <c r="G39" s="597"/>
      <c r="H39" s="597"/>
      <c r="I39" s="39"/>
      <c r="J39" s="39"/>
      <c r="K39" s="39"/>
      <c r="L39" s="106"/>
      <c r="M39" s="106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7"/>
    </row>
    <row r="40" spans="1:33" ht="18">
      <c r="A40" s="39"/>
      <c r="B40" s="40"/>
      <c r="C40" s="40"/>
      <c r="D40" s="40"/>
      <c r="E40" s="40"/>
      <c r="F40" s="39"/>
      <c r="G40" s="37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217" t="s">
        <v>29</v>
      </c>
      <c r="AA40" s="39"/>
      <c r="AB40" s="39"/>
      <c r="AC40" s="39"/>
      <c r="AD40" s="39"/>
      <c r="AE40" s="39"/>
      <c r="AF40" s="39"/>
      <c r="AG40" s="37"/>
    </row>
    <row r="41" ht="12.75">
      <c r="G41" s="42"/>
    </row>
    <row r="42" ht="12.75">
      <c r="N42" s="8"/>
    </row>
    <row r="43" spans="14:15" ht="12.75">
      <c r="N43" s="8"/>
      <c r="O43" s="8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73" spans="4:7" ht="12.75">
      <c r="D73" s="21"/>
      <c r="G73" s="43"/>
    </row>
    <row r="85" ht="12.75">
      <c r="I85">
        <f>65-37</f>
        <v>28</v>
      </c>
    </row>
  </sheetData>
  <sheetProtection/>
  <mergeCells count="31">
    <mergeCell ref="AC4:AD4"/>
    <mergeCell ref="S3:AF3"/>
    <mergeCell ref="AA4:AB4"/>
    <mergeCell ref="Q4:R4"/>
    <mergeCell ref="F3:F4"/>
    <mergeCell ref="AE4:AF4"/>
    <mergeCell ref="M3:R3"/>
    <mergeCell ref="G3:G4"/>
    <mergeCell ref="H3:H4"/>
    <mergeCell ref="I3:I4"/>
    <mergeCell ref="S4:T4"/>
    <mergeCell ref="A5:C5"/>
    <mergeCell ref="U4:V4"/>
    <mergeCell ref="H5:L5"/>
    <mergeCell ref="A1:AF1"/>
    <mergeCell ref="A2:AF2"/>
    <mergeCell ref="A3:A4"/>
    <mergeCell ref="C3:C4"/>
    <mergeCell ref="E3:E4"/>
    <mergeCell ref="W4:X4"/>
    <mergeCell ref="Y4:Z4"/>
    <mergeCell ref="D5:G5"/>
    <mergeCell ref="M4:N4"/>
    <mergeCell ref="L3:L4"/>
    <mergeCell ref="O4:P4"/>
    <mergeCell ref="D39:H39"/>
    <mergeCell ref="A39:C39"/>
    <mergeCell ref="K3:K4"/>
    <mergeCell ref="J3:J4"/>
    <mergeCell ref="D3:D4"/>
    <mergeCell ref="B3:B4"/>
  </mergeCells>
  <printOptions horizontalCentered="1" verticalCentered="1"/>
  <pageMargins left="0.5" right="0.25" top="0.25" bottom="0.25" header="0" footer="0"/>
  <pageSetup horizontalDpi="600" verticalDpi="600" orientation="landscape" paperSize="5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EE84"/>
  <sheetViews>
    <sheetView view="pageBreakPreview" zoomScale="60" zoomScaleNormal="85" zoomScalePageLayoutView="0" workbookViewId="0" topLeftCell="A13">
      <selection activeCell="G37" sqref="G37"/>
    </sheetView>
  </sheetViews>
  <sheetFormatPr defaultColWidth="9.140625" defaultRowHeight="12.75"/>
  <cols>
    <col min="1" max="1" width="10.00390625" style="0" customWidth="1"/>
    <col min="2" max="2" width="11.00390625" style="4" customWidth="1"/>
    <col min="3" max="3" width="9.421875" style="4" customWidth="1"/>
    <col min="4" max="4" width="9.00390625" style="4" customWidth="1"/>
    <col min="5" max="5" width="9.140625" style="4" customWidth="1"/>
    <col min="6" max="6" width="8.7109375" style="0" customWidth="1"/>
    <col min="7" max="7" width="8.57421875" style="9" customWidth="1"/>
    <col min="8" max="8" width="7.28125" style="0" customWidth="1"/>
    <col min="9" max="9" width="7.7109375" style="0" customWidth="1"/>
    <col min="10" max="10" width="8.8515625" style="0" customWidth="1"/>
    <col min="11" max="11" width="8.00390625" style="0" customWidth="1"/>
    <col min="12" max="12" width="6.7109375" style="0" customWidth="1"/>
    <col min="13" max="13" width="8.28125" style="0" customWidth="1"/>
    <col min="14" max="14" width="6.8515625" style="0" customWidth="1"/>
    <col min="15" max="15" width="7.57421875" style="0" customWidth="1"/>
    <col min="16" max="16" width="7.7109375" style="0" customWidth="1"/>
    <col min="17" max="17" width="4.8515625" style="0" customWidth="1"/>
    <col min="18" max="18" width="4.421875" style="0" customWidth="1"/>
    <col min="19" max="19" width="9.421875" style="0" customWidth="1"/>
    <col min="20" max="20" width="9.28125" style="0" bestFit="1" customWidth="1"/>
    <col min="21" max="21" width="6.8515625" style="0" customWidth="1"/>
    <col min="22" max="22" width="6.7109375" style="0" customWidth="1"/>
    <col min="23" max="23" width="7.00390625" style="0" customWidth="1"/>
    <col min="24" max="24" width="6.7109375" style="0" customWidth="1"/>
    <col min="25" max="25" width="4.28125" style="0" customWidth="1"/>
    <col min="26" max="26" width="6.28125" style="0" customWidth="1"/>
    <col min="27" max="27" width="9.8515625" style="0" customWidth="1"/>
    <col min="29" max="30" width="7.140625" style="0" bestFit="1" customWidth="1"/>
    <col min="31" max="31" width="5.28125" style="0" customWidth="1"/>
    <col min="32" max="32" width="6.28125" style="0" customWidth="1"/>
    <col min="33" max="16384" width="9.140625" style="9" customWidth="1"/>
  </cols>
  <sheetData>
    <row r="1" spans="1:32" ht="15" customHeight="1">
      <c r="A1" s="537" t="s">
        <v>50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</row>
    <row r="2" spans="1:33" ht="17.25" customHeight="1" thickBot="1">
      <c r="A2" s="531" t="s">
        <v>80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37"/>
    </row>
    <row r="3" spans="1:35" ht="12" customHeight="1" thickBot="1" thickTop="1">
      <c r="A3" s="555" t="s">
        <v>23</v>
      </c>
      <c r="B3" s="557" t="s">
        <v>0</v>
      </c>
      <c r="C3" s="559" t="s">
        <v>56</v>
      </c>
      <c r="D3" s="604" t="s">
        <v>20</v>
      </c>
      <c r="E3" s="604" t="s">
        <v>21</v>
      </c>
      <c r="F3" s="586" t="s">
        <v>19</v>
      </c>
      <c r="G3" s="613" t="s">
        <v>2</v>
      </c>
      <c r="H3" s="584" t="s">
        <v>3</v>
      </c>
      <c r="I3" s="580" t="s">
        <v>4</v>
      </c>
      <c r="J3" s="619" t="s">
        <v>63</v>
      </c>
      <c r="K3" s="598" t="s">
        <v>26</v>
      </c>
      <c r="L3" s="529" t="s">
        <v>5</v>
      </c>
      <c r="M3" s="611" t="s">
        <v>17</v>
      </c>
      <c r="N3" s="612"/>
      <c r="O3" s="612"/>
      <c r="P3" s="612"/>
      <c r="Q3" s="612"/>
      <c r="R3" s="621"/>
      <c r="S3" s="624" t="s">
        <v>84</v>
      </c>
      <c r="T3" s="625"/>
      <c r="U3" s="617" t="s">
        <v>83</v>
      </c>
      <c r="V3" s="617"/>
      <c r="W3" s="617"/>
      <c r="X3" s="617"/>
      <c r="Y3" s="617"/>
      <c r="Z3" s="618"/>
      <c r="AA3" s="617" t="s">
        <v>82</v>
      </c>
      <c r="AB3" s="617"/>
      <c r="AC3" s="617"/>
      <c r="AD3" s="617"/>
      <c r="AE3" s="617"/>
      <c r="AF3" s="618"/>
      <c r="AG3" s="123"/>
      <c r="AH3" s="76"/>
      <c r="AI3" s="76"/>
    </row>
    <row r="4" spans="1:35" ht="92.25" customHeight="1" thickBot="1" thickTop="1">
      <c r="A4" s="556"/>
      <c r="B4" s="558"/>
      <c r="C4" s="560"/>
      <c r="D4" s="605"/>
      <c r="E4" s="605"/>
      <c r="F4" s="550"/>
      <c r="G4" s="614"/>
      <c r="H4" s="585"/>
      <c r="I4" s="581"/>
      <c r="J4" s="620"/>
      <c r="K4" s="599"/>
      <c r="L4" s="533"/>
      <c r="M4" s="626" t="s">
        <v>6</v>
      </c>
      <c r="N4" s="596"/>
      <c r="O4" s="595" t="s">
        <v>15</v>
      </c>
      <c r="P4" s="596"/>
      <c r="Q4" s="595" t="s">
        <v>7</v>
      </c>
      <c r="R4" s="596"/>
      <c r="S4" s="627" t="s">
        <v>25</v>
      </c>
      <c r="T4" s="616"/>
      <c r="U4" s="606" t="s">
        <v>34</v>
      </c>
      <c r="V4" s="603"/>
      <c r="W4" s="602" t="s">
        <v>9</v>
      </c>
      <c r="X4" s="603"/>
      <c r="Y4" s="606" t="s">
        <v>10</v>
      </c>
      <c r="Z4" s="603"/>
      <c r="AA4" s="606" t="s">
        <v>11</v>
      </c>
      <c r="AB4" s="603"/>
      <c r="AC4" s="606" t="s">
        <v>24</v>
      </c>
      <c r="AD4" s="603"/>
      <c r="AE4" s="602" t="s">
        <v>12</v>
      </c>
      <c r="AF4" s="603"/>
      <c r="AG4" s="123"/>
      <c r="AH4" s="76"/>
      <c r="AI4" s="76"/>
    </row>
    <row r="5" spans="1:34" ht="16.5" customHeight="1" thickBot="1" thickTop="1">
      <c r="A5" s="521"/>
      <c r="B5" s="522"/>
      <c r="C5" s="528"/>
      <c r="D5" s="592" t="s">
        <v>81</v>
      </c>
      <c r="E5" s="622"/>
      <c r="F5" s="622"/>
      <c r="G5" s="623"/>
      <c r="H5" s="522"/>
      <c r="I5" s="522"/>
      <c r="J5" s="522"/>
      <c r="K5" s="522"/>
      <c r="L5" s="528"/>
      <c r="M5" s="63" t="s">
        <v>13</v>
      </c>
      <c r="N5" s="65" t="s">
        <v>14</v>
      </c>
      <c r="O5" s="120" t="s">
        <v>13</v>
      </c>
      <c r="P5" s="65" t="s">
        <v>14</v>
      </c>
      <c r="Q5" s="120" t="s">
        <v>13</v>
      </c>
      <c r="R5" s="65" t="s">
        <v>14</v>
      </c>
      <c r="S5" s="335" t="s">
        <v>13</v>
      </c>
      <c r="T5" s="127" t="s">
        <v>14</v>
      </c>
      <c r="U5" s="63" t="s">
        <v>13</v>
      </c>
      <c r="V5" s="246" t="s">
        <v>14</v>
      </c>
      <c r="W5" s="63" t="s">
        <v>13</v>
      </c>
      <c r="X5" s="65" t="s">
        <v>14</v>
      </c>
      <c r="Y5" s="120" t="s">
        <v>13</v>
      </c>
      <c r="Z5" s="65" t="s">
        <v>14</v>
      </c>
      <c r="AA5" s="120" t="s">
        <v>13</v>
      </c>
      <c r="AB5" s="65" t="s">
        <v>14</v>
      </c>
      <c r="AC5" s="120" t="s">
        <v>13</v>
      </c>
      <c r="AD5" s="65" t="s">
        <v>14</v>
      </c>
      <c r="AE5" s="120" t="s">
        <v>13</v>
      </c>
      <c r="AF5" s="65" t="s">
        <v>14</v>
      </c>
      <c r="AG5" s="37"/>
      <c r="AH5" s="76"/>
    </row>
    <row r="6" spans="1:135" s="128" customFormat="1" ht="19.5" customHeight="1" thickBot="1" thickTop="1">
      <c r="A6" s="194">
        <v>1</v>
      </c>
      <c r="B6" s="191">
        <v>157</v>
      </c>
      <c r="C6" s="183">
        <v>193</v>
      </c>
      <c r="D6" s="180">
        <v>17</v>
      </c>
      <c r="E6" s="130">
        <v>11</v>
      </c>
      <c r="F6" s="327">
        <v>222</v>
      </c>
      <c r="G6" s="324">
        <f>+F6/4.25</f>
        <v>52.23529411764706</v>
      </c>
      <c r="H6" s="131">
        <v>1</v>
      </c>
      <c r="I6" s="130">
        <v>2</v>
      </c>
      <c r="J6" s="130" t="s">
        <v>16</v>
      </c>
      <c r="K6" s="130">
        <v>4</v>
      </c>
      <c r="L6" s="132" t="s">
        <v>16</v>
      </c>
      <c r="M6" s="131">
        <v>10</v>
      </c>
      <c r="N6" s="130">
        <v>6</v>
      </c>
      <c r="O6" s="130" t="s">
        <v>16</v>
      </c>
      <c r="P6" s="130" t="s">
        <v>16</v>
      </c>
      <c r="Q6" s="134" t="s">
        <v>16</v>
      </c>
      <c r="R6" s="134" t="s">
        <v>16</v>
      </c>
      <c r="S6" s="339">
        <v>27</v>
      </c>
      <c r="T6" s="220">
        <v>151</v>
      </c>
      <c r="U6" s="131">
        <v>1</v>
      </c>
      <c r="V6" s="275">
        <v>8</v>
      </c>
      <c r="W6" s="271">
        <v>2</v>
      </c>
      <c r="X6" s="136">
        <v>2</v>
      </c>
      <c r="Y6" s="131">
        <v>1</v>
      </c>
      <c r="Z6" s="136">
        <v>2</v>
      </c>
      <c r="AA6" s="131">
        <v>138</v>
      </c>
      <c r="AB6" s="136">
        <v>48</v>
      </c>
      <c r="AC6" s="131" t="s">
        <v>16</v>
      </c>
      <c r="AD6" s="136" t="s">
        <v>16</v>
      </c>
      <c r="AE6" s="131" t="s">
        <v>16</v>
      </c>
      <c r="AF6" s="136" t="s">
        <v>16</v>
      </c>
      <c r="AG6" s="37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33" ht="19.5" customHeight="1" thickBot="1" thickTop="1">
      <c r="A7" s="195">
        <v>2</v>
      </c>
      <c r="B7" s="192">
        <v>1026</v>
      </c>
      <c r="C7" s="144">
        <v>194</v>
      </c>
      <c r="D7" s="181">
        <v>51</v>
      </c>
      <c r="E7" s="138">
        <v>27</v>
      </c>
      <c r="F7" s="328">
        <v>246</v>
      </c>
      <c r="G7" s="324">
        <f aca="true" t="shared" si="0" ref="G7:G35">+F7/4.25</f>
        <v>57.88235294117647</v>
      </c>
      <c r="H7" s="139">
        <v>4</v>
      </c>
      <c r="I7" s="138">
        <v>29</v>
      </c>
      <c r="J7" s="138" t="s">
        <v>16</v>
      </c>
      <c r="K7" s="138">
        <v>3</v>
      </c>
      <c r="L7" s="140">
        <v>1</v>
      </c>
      <c r="M7" s="139">
        <v>60</v>
      </c>
      <c r="N7" s="138">
        <v>19</v>
      </c>
      <c r="O7" s="138">
        <v>15</v>
      </c>
      <c r="P7" s="138">
        <v>17</v>
      </c>
      <c r="Q7" s="134" t="s">
        <v>16</v>
      </c>
      <c r="R7" s="134" t="s">
        <v>27</v>
      </c>
      <c r="S7" s="340">
        <v>188</v>
      </c>
      <c r="T7" s="222">
        <v>359</v>
      </c>
      <c r="U7" s="139">
        <v>5</v>
      </c>
      <c r="V7" s="276">
        <v>4</v>
      </c>
      <c r="W7" s="273">
        <v>11</v>
      </c>
      <c r="X7" s="144">
        <v>8</v>
      </c>
      <c r="Y7" s="139" t="s">
        <v>16</v>
      </c>
      <c r="Z7" s="144">
        <v>1</v>
      </c>
      <c r="AA7" s="139">
        <v>68</v>
      </c>
      <c r="AB7" s="144">
        <v>234</v>
      </c>
      <c r="AC7" s="131" t="s">
        <v>16</v>
      </c>
      <c r="AD7" s="136" t="s">
        <v>16</v>
      </c>
      <c r="AE7" s="131">
        <v>1</v>
      </c>
      <c r="AF7" s="136">
        <v>2</v>
      </c>
      <c r="AG7" s="37"/>
    </row>
    <row r="8" spans="1:34" ht="19.5" customHeight="1" thickBot="1" thickTop="1">
      <c r="A8" s="195">
        <v>3</v>
      </c>
      <c r="B8" s="192">
        <v>1273</v>
      </c>
      <c r="C8" s="144">
        <v>212</v>
      </c>
      <c r="D8" s="181">
        <v>34</v>
      </c>
      <c r="E8" s="138">
        <v>30</v>
      </c>
      <c r="F8" s="328">
        <v>250</v>
      </c>
      <c r="G8" s="324">
        <f t="shared" si="0"/>
        <v>58.8235294117647</v>
      </c>
      <c r="H8" s="139">
        <v>7</v>
      </c>
      <c r="I8" s="138">
        <v>33</v>
      </c>
      <c r="J8" s="138" t="s">
        <v>16</v>
      </c>
      <c r="K8" s="138">
        <v>4</v>
      </c>
      <c r="L8" s="140">
        <v>1</v>
      </c>
      <c r="M8" s="139">
        <v>68</v>
      </c>
      <c r="N8" s="138">
        <v>12</v>
      </c>
      <c r="O8" s="138">
        <v>16</v>
      </c>
      <c r="P8" s="138">
        <v>7</v>
      </c>
      <c r="Q8" s="134" t="s">
        <v>16</v>
      </c>
      <c r="R8" s="134" t="s">
        <v>16</v>
      </c>
      <c r="S8" s="340">
        <v>198</v>
      </c>
      <c r="T8" s="222">
        <v>253</v>
      </c>
      <c r="U8" s="139">
        <v>5</v>
      </c>
      <c r="V8" s="276">
        <v>7</v>
      </c>
      <c r="W8" s="273">
        <v>5</v>
      </c>
      <c r="X8" s="144">
        <v>7</v>
      </c>
      <c r="Y8" s="139" t="s">
        <v>16</v>
      </c>
      <c r="Z8" s="144">
        <v>2</v>
      </c>
      <c r="AA8" s="139">
        <v>98</v>
      </c>
      <c r="AB8" s="144">
        <v>173</v>
      </c>
      <c r="AC8" s="131">
        <v>2</v>
      </c>
      <c r="AD8" s="136" t="s">
        <v>16</v>
      </c>
      <c r="AE8" s="131">
        <v>2</v>
      </c>
      <c r="AF8" s="136" t="s">
        <v>16</v>
      </c>
      <c r="AG8" s="76"/>
      <c r="AH8" s="37"/>
    </row>
    <row r="9" spans="1:34" ht="19.5" customHeight="1" thickBot="1" thickTop="1">
      <c r="A9" s="280">
        <v>4</v>
      </c>
      <c r="B9" s="281" t="s">
        <v>16</v>
      </c>
      <c r="C9" s="282">
        <v>282</v>
      </c>
      <c r="D9" s="283">
        <v>4</v>
      </c>
      <c r="E9" s="284">
        <v>4</v>
      </c>
      <c r="F9" s="329">
        <v>250</v>
      </c>
      <c r="G9" s="324">
        <f>+F9/4.25</f>
        <v>58.8235294117647</v>
      </c>
      <c r="H9" s="285" t="s">
        <v>16</v>
      </c>
      <c r="I9" s="284" t="s">
        <v>16</v>
      </c>
      <c r="J9" s="284" t="s">
        <v>16</v>
      </c>
      <c r="K9" s="284">
        <v>2</v>
      </c>
      <c r="L9" s="286" t="s">
        <v>16</v>
      </c>
      <c r="M9" s="285">
        <v>8</v>
      </c>
      <c r="N9" s="284">
        <v>2</v>
      </c>
      <c r="O9" s="284" t="s">
        <v>16</v>
      </c>
      <c r="P9" s="284" t="s">
        <v>16</v>
      </c>
      <c r="Q9" s="290" t="s">
        <v>16</v>
      </c>
      <c r="R9" s="290" t="s">
        <v>16</v>
      </c>
      <c r="S9" s="344" t="s">
        <v>16</v>
      </c>
      <c r="T9" s="336">
        <v>30</v>
      </c>
      <c r="U9" s="285" t="s">
        <v>16</v>
      </c>
      <c r="V9" s="291" t="s">
        <v>16</v>
      </c>
      <c r="W9" s="292" t="s">
        <v>16</v>
      </c>
      <c r="X9" s="282" t="s">
        <v>16</v>
      </c>
      <c r="Y9" s="285" t="s">
        <v>16</v>
      </c>
      <c r="Z9" s="282" t="s">
        <v>16</v>
      </c>
      <c r="AA9" s="285" t="s">
        <v>16</v>
      </c>
      <c r="AB9" s="291">
        <v>6</v>
      </c>
      <c r="AC9" s="292" t="s">
        <v>16</v>
      </c>
      <c r="AD9" s="282" t="s">
        <v>16</v>
      </c>
      <c r="AE9" s="285" t="s">
        <v>16</v>
      </c>
      <c r="AF9" s="282" t="s">
        <v>16</v>
      </c>
      <c r="AH9" s="37"/>
    </row>
    <row r="10" spans="1:34" ht="19.5" customHeight="1" thickBot="1" thickTop="1">
      <c r="A10" s="195">
        <v>5</v>
      </c>
      <c r="B10" s="192">
        <v>1454</v>
      </c>
      <c r="C10" s="144">
        <v>199</v>
      </c>
      <c r="D10" s="181">
        <v>66</v>
      </c>
      <c r="E10" s="138">
        <v>50</v>
      </c>
      <c r="F10" s="328">
        <v>266</v>
      </c>
      <c r="G10" s="324">
        <f t="shared" si="0"/>
        <v>62.588235294117645</v>
      </c>
      <c r="H10" s="139">
        <v>7</v>
      </c>
      <c r="I10" s="138">
        <v>28</v>
      </c>
      <c r="J10" s="138" t="s">
        <v>16</v>
      </c>
      <c r="K10" s="138">
        <v>3</v>
      </c>
      <c r="L10" s="140" t="s">
        <v>16</v>
      </c>
      <c r="M10" s="139">
        <v>75</v>
      </c>
      <c r="N10" s="138">
        <v>17</v>
      </c>
      <c r="O10" s="138">
        <v>19</v>
      </c>
      <c r="P10" s="138">
        <v>8</v>
      </c>
      <c r="Q10" s="134" t="s">
        <v>16</v>
      </c>
      <c r="R10" s="134" t="s">
        <v>16</v>
      </c>
      <c r="S10" s="340">
        <v>142</v>
      </c>
      <c r="T10" s="222">
        <v>304</v>
      </c>
      <c r="U10" s="139">
        <v>12</v>
      </c>
      <c r="V10" s="276">
        <v>8</v>
      </c>
      <c r="W10" s="273">
        <v>14</v>
      </c>
      <c r="X10" s="144">
        <v>4</v>
      </c>
      <c r="Y10" s="139"/>
      <c r="Z10" s="144">
        <v>2</v>
      </c>
      <c r="AA10" s="139">
        <v>164</v>
      </c>
      <c r="AB10" s="144">
        <v>364</v>
      </c>
      <c r="AC10" s="131">
        <v>4</v>
      </c>
      <c r="AD10" s="136">
        <v>4</v>
      </c>
      <c r="AE10" s="131">
        <v>1</v>
      </c>
      <c r="AF10" s="136">
        <v>1</v>
      </c>
      <c r="AH10" s="37"/>
    </row>
    <row r="11" spans="1:34" ht="19.5" customHeight="1" thickBot="1" thickTop="1">
      <c r="A11" s="195">
        <v>6</v>
      </c>
      <c r="B11" s="192">
        <v>1242</v>
      </c>
      <c r="C11" s="144">
        <v>142</v>
      </c>
      <c r="D11" s="181">
        <v>45</v>
      </c>
      <c r="E11" s="138">
        <v>30</v>
      </c>
      <c r="F11" s="328">
        <v>281</v>
      </c>
      <c r="G11" s="324">
        <f t="shared" si="0"/>
        <v>66.11764705882354</v>
      </c>
      <c r="H11" s="139">
        <v>7</v>
      </c>
      <c r="I11" s="138">
        <v>19</v>
      </c>
      <c r="J11" s="138">
        <v>6</v>
      </c>
      <c r="K11" s="138">
        <v>5</v>
      </c>
      <c r="L11" s="140" t="s">
        <v>16</v>
      </c>
      <c r="M11" s="139">
        <v>76</v>
      </c>
      <c r="N11" s="138">
        <v>20</v>
      </c>
      <c r="O11" s="138">
        <v>19</v>
      </c>
      <c r="P11" s="138">
        <v>8</v>
      </c>
      <c r="Q11" s="134" t="s">
        <v>16</v>
      </c>
      <c r="R11" s="134" t="s">
        <v>16</v>
      </c>
      <c r="S11" s="340">
        <v>140</v>
      </c>
      <c r="T11" s="222">
        <v>351</v>
      </c>
      <c r="U11" s="139">
        <v>5</v>
      </c>
      <c r="V11" s="276">
        <v>12</v>
      </c>
      <c r="W11" s="273">
        <v>16</v>
      </c>
      <c r="X11" s="144">
        <v>9</v>
      </c>
      <c r="Y11" s="139">
        <v>2</v>
      </c>
      <c r="Z11" s="144">
        <v>4</v>
      </c>
      <c r="AA11" s="139">
        <v>138</v>
      </c>
      <c r="AB11" s="144">
        <v>195</v>
      </c>
      <c r="AC11" s="131">
        <v>3</v>
      </c>
      <c r="AD11" s="136">
        <v>4</v>
      </c>
      <c r="AE11" s="131">
        <v>8</v>
      </c>
      <c r="AF11" s="144" t="s">
        <v>16</v>
      </c>
      <c r="AH11" s="37"/>
    </row>
    <row r="12" spans="1:34" ht="19.5" customHeight="1" thickBot="1" thickTop="1">
      <c r="A12" s="195">
        <v>7</v>
      </c>
      <c r="B12" s="192">
        <v>1032</v>
      </c>
      <c r="C12" s="144">
        <v>148</v>
      </c>
      <c r="D12" s="181">
        <v>38</v>
      </c>
      <c r="E12" s="138">
        <v>36</v>
      </c>
      <c r="F12" s="328">
        <v>283</v>
      </c>
      <c r="G12" s="324">
        <f t="shared" si="0"/>
        <v>66.58823529411765</v>
      </c>
      <c r="H12" s="139">
        <v>8</v>
      </c>
      <c r="I12" s="138">
        <v>29</v>
      </c>
      <c r="J12" s="138" t="s">
        <v>16</v>
      </c>
      <c r="K12" s="138">
        <v>3</v>
      </c>
      <c r="L12" s="140">
        <v>1</v>
      </c>
      <c r="M12" s="151">
        <v>62</v>
      </c>
      <c r="N12" s="152">
        <v>17</v>
      </c>
      <c r="O12" s="138">
        <v>16</v>
      </c>
      <c r="P12" s="138">
        <v>11</v>
      </c>
      <c r="Q12" s="134" t="s">
        <v>16</v>
      </c>
      <c r="R12" s="134" t="s">
        <v>16</v>
      </c>
      <c r="S12" s="222">
        <v>157</v>
      </c>
      <c r="T12" s="222">
        <v>302</v>
      </c>
      <c r="U12" s="139">
        <v>2</v>
      </c>
      <c r="V12" s="276">
        <v>20</v>
      </c>
      <c r="W12" s="273">
        <v>15</v>
      </c>
      <c r="X12" s="144">
        <v>2</v>
      </c>
      <c r="Y12" s="139">
        <v>1</v>
      </c>
      <c r="Z12" s="144">
        <v>2</v>
      </c>
      <c r="AA12" s="139">
        <v>113</v>
      </c>
      <c r="AB12" s="144">
        <v>244</v>
      </c>
      <c r="AC12" s="131">
        <v>5</v>
      </c>
      <c r="AD12" s="136">
        <v>6</v>
      </c>
      <c r="AE12" s="131">
        <v>6</v>
      </c>
      <c r="AF12" s="136">
        <v>1</v>
      </c>
      <c r="AH12" s="37"/>
    </row>
    <row r="13" spans="1:135" s="128" customFormat="1" ht="19.5" customHeight="1" thickBot="1" thickTop="1">
      <c r="A13" s="195">
        <v>8</v>
      </c>
      <c r="B13" s="192">
        <v>1067</v>
      </c>
      <c r="C13" s="144">
        <v>144</v>
      </c>
      <c r="D13" s="181">
        <v>51</v>
      </c>
      <c r="E13" s="138">
        <v>44</v>
      </c>
      <c r="F13" s="328">
        <v>290</v>
      </c>
      <c r="G13" s="324">
        <f t="shared" si="0"/>
        <v>68.23529411764706</v>
      </c>
      <c r="H13" s="139">
        <v>15</v>
      </c>
      <c r="I13" s="138">
        <v>21</v>
      </c>
      <c r="J13" s="138" t="s">
        <v>16</v>
      </c>
      <c r="K13" s="138">
        <v>4</v>
      </c>
      <c r="L13" s="140">
        <v>3</v>
      </c>
      <c r="M13" s="139">
        <v>52</v>
      </c>
      <c r="N13" s="138">
        <v>26</v>
      </c>
      <c r="O13" s="138">
        <v>22</v>
      </c>
      <c r="P13" s="138">
        <v>8</v>
      </c>
      <c r="Q13" s="134" t="s">
        <v>16</v>
      </c>
      <c r="R13" s="134" t="s">
        <v>16</v>
      </c>
      <c r="S13" s="340">
        <v>201</v>
      </c>
      <c r="T13" s="222">
        <v>209</v>
      </c>
      <c r="U13" s="139">
        <v>4</v>
      </c>
      <c r="V13" s="276">
        <v>16</v>
      </c>
      <c r="W13" s="273">
        <v>8</v>
      </c>
      <c r="X13" s="144">
        <v>4</v>
      </c>
      <c r="Y13" s="139"/>
      <c r="Z13" s="144">
        <v>3</v>
      </c>
      <c r="AA13" s="139">
        <v>194</v>
      </c>
      <c r="AB13" s="144">
        <v>203</v>
      </c>
      <c r="AC13" s="131">
        <v>2</v>
      </c>
      <c r="AD13" s="136">
        <v>7</v>
      </c>
      <c r="AE13" s="131">
        <v>7</v>
      </c>
      <c r="AF13" s="136" t="s">
        <v>16</v>
      </c>
      <c r="AG13" s="9"/>
      <c r="AH13" s="37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34" ht="19.5" customHeight="1" thickBot="1" thickTop="1">
      <c r="A14" s="195">
        <v>9</v>
      </c>
      <c r="B14" s="192">
        <v>902</v>
      </c>
      <c r="C14" s="144">
        <v>172</v>
      </c>
      <c r="D14" s="181">
        <v>41</v>
      </c>
      <c r="E14" s="138">
        <v>31</v>
      </c>
      <c r="F14" s="328">
        <v>300</v>
      </c>
      <c r="G14" s="324">
        <f t="shared" si="0"/>
        <v>70.58823529411765</v>
      </c>
      <c r="H14" s="139">
        <v>9</v>
      </c>
      <c r="I14" s="138">
        <v>20</v>
      </c>
      <c r="J14" s="138" t="s">
        <v>16</v>
      </c>
      <c r="K14" s="138">
        <v>7</v>
      </c>
      <c r="L14" s="140">
        <v>1</v>
      </c>
      <c r="M14" s="139">
        <v>63</v>
      </c>
      <c r="N14" s="138">
        <v>15</v>
      </c>
      <c r="O14" s="138">
        <v>22</v>
      </c>
      <c r="P14" s="138">
        <v>7</v>
      </c>
      <c r="Q14" s="134" t="s">
        <v>16</v>
      </c>
      <c r="R14" s="134" t="s">
        <v>16</v>
      </c>
      <c r="S14" s="340">
        <v>145</v>
      </c>
      <c r="T14" s="222">
        <v>309</v>
      </c>
      <c r="U14" s="139">
        <v>5</v>
      </c>
      <c r="V14" s="276">
        <v>17</v>
      </c>
      <c r="W14" s="273">
        <v>13</v>
      </c>
      <c r="X14" s="144">
        <v>12</v>
      </c>
      <c r="Y14" s="139"/>
      <c r="Z14" s="144">
        <v>1</v>
      </c>
      <c r="AA14" s="139">
        <v>130</v>
      </c>
      <c r="AB14" s="144">
        <v>274</v>
      </c>
      <c r="AC14" s="131" t="s">
        <v>16</v>
      </c>
      <c r="AD14" s="136">
        <v>5</v>
      </c>
      <c r="AE14" s="131">
        <v>1</v>
      </c>
      <c r="AF14" s="136">
        <v>3</v>
      </c>
      <c r="AH14" s="37"/>
    </row>
    <row r="15" spans="1:34" ht="19.5" customHeight="1" thickBot="1" thickTop="1">
      <c r="A15" s="195">
        <v>10</v>
      </c>
      <c r="B15" s="192">
        <v>1152</v>
      </c>
      <c r="C15" s="144">
        <v>176</v>
      </c>
      <c r="D15" s="181">
        <v>30</v>
      </c>
      <c r="E15" s="138">
        <v>41</v>
      </c>
      <c r="F15" s="328">
        <v>289</v>
      </c>
      <c r="G15" s="324">
        <f t="shared" si="0"/>
        <v>68</v>
      </c>
      <c r="H15" s="139">
        <v>2</v>
      </c>
      <c r="I15" s="138">
        <v>31</v>
      </c>
      <c r="J15" s="138" t="s">
        <v>16</v>
      </c>
      <c r="K15" s="138">
        <v>1</v>
      </c>
      <c r="L15" s="140" t="s">
        <v>16</v>
      </c>
      <c r="M15" s="139">
        <v>52</v>
      </c>
      <c r="N15" s="138">
        <v>13</v>
      </c>
      <c r="O15" s="138">
        <v>19</v>
      </c>
      <c r="P15" s="138">
        <v>6</v>
      </c>
      <c r="Q15" s="134" t="s">
        <v>16</v>
      </c>
      <c r="R15" s="134" t="s">
        <v>16</v>
      </c>
      <c r="S15" s="340">
        <v>158</v>
      </c>
      <c r="T15" s="222">
        <v>190</v>
      </c>
      <c r="U15" s="139">
        <v>5</v>
      </c>
      <c r="V15" s="276">
        <v>7</v>
      </c>
      <c r="W15" s="273">
        <v>9</v>
      </c>
      <c r="X15" s="144">
        <v>1</v>
      </c>
      <c r="Y15" s="139"/>
      <c r="Z15" s="144"/>
      <c r="AA15" s="139">
        <v>91</v>
      </c>
      <c r="AB15" s="144">
        <v>233</v>
      </c>
      <c r="AC15" s="131" t="s">
        <v>16</v>
      </c>
      <c r="AD15" s="136" t="s">
        <v>16</v>
      </c>
      <c r="AE15" s="131" t="s">
        <v>16</v>
      </c>
      <c r="AF15" s="136" t="s">
        <v>16</v>
      </c>
      <c r="AH15" s="37"/>
    </row>
    <row r="16" spans="1:34" ht="19.5" customHeight="1" thickBot="1" thickTop="1">
      <c r="A16" s="280">
        <v>11</v>
      </c>
      <c r="B16" s="281" t="s">
        <v>16</v>
      </c>
      <c r="C16" s="282">
        <v>221</v>
      </c>
      <c r="D16" s="283">
        <v>8</v>
      </c>
      <c r="E16" s="284">
        <v>5</v>
      </c>
      <c r="F16" s="329">
        <v>291</v>
      </c>
      <c r="G16" s="324">
        <f t="shared" si="0"/>
        <v>68.47058823529412</v>
      </c>
      <c r="H16" s="285" t="s">
        <v>16</v>
      </c>
      <c r="I16" s="284" t="s">
        <v>16</v>
      </c>
      <c r="J16" s="284" t="s">
        <v>16</v>
      </c>
      <c r="K16" s="284">
        <v>1</v>
      </c>
      <c r="L16" s="286" t="s">
        <v>16</v>
      </c>
      <c r="M16" s="285">
        <v>12</v>
      </c>
      <c r="N16" s="284">
        <v>1</v>
      </c>
      <c r="O16" s="284" t="s">
        <v>16</v>
      </c>
      <c r="P16" s="284" t="s">
        <v>16</v>
      </c>
      <c r="Q16" s="290" t="s">
        <v>16</v>
      </c>
      <c r="R16" s="290" t="s">
        <v>16</v>
      </c>
      <c r="S16" s="344" t="s">
        <v>16</v>
      </c>
      <c r="T16" s="336">
        <v>15</v>
      </c>
      <c r="U16" s="285" t="s">
        <v>16</v>
      </c>
      <c r="V16" s="291" t="s">
        <v>16</v>
      </c>
      <c r="W16" s="292" t="s">
        <v>16</v>
      </c>
      <c r="X16" s="282" t="s">
        <v>16</v>
      </c>
      <c r="Y16" s="285" t="s">
        <v>16</v>
      </c>
      <c r="Z16" s="282" t="s">
        <v>16</v>
      </c>
      <c r="AA16" s="285" t="s">
        <v>16</v>
      </c>
      <c r="AB16" s="291">
        <v>6</v>
      </c>
      <c r="AC16" s="292" t="s">
        <v>16</v>
      </c>
      <c r="AD16" s="282" t="s">
        <v>16</v>
      </c>
      <c r="AE16" s="285" t="s">
        <v>16</v>
      </c>
      <c r="AF16" s="282" t="s">
        <v>16</v>
      </c>
      <c r="AH16" s="37"/>
    </row>
    <row r="17" spans="1:34" ht="19.5" customHeight="1" thickBot="1" thickTop="1">
      <c r="A17" s="195">
        <v>12</v>
      </c>
      <c r="B17" s="192">
        <v>1367</v>
      </c>
      <c r="C17" s="144">
        <v>167</v>
      </c>
      <c r="D17" s="181">
        <v>42</v>
      </c>
      <c r="E17" s="138">
        <v>52</v>
      </c>
      <c r="F17" s="328">
        <v>281</v>
      </c>
      <c r="G17" s="324">
        <f t="shared" si="0"/>
        <v>66.11764705882354</v>
      </c>
      <c r="H17" s="139">
        <v>7</v>
      </c>
      <c r="I17" s="138">
        <v>27</v>
      </c>
      <c r="J17" s="138" t="s">
        <v>16</v>
      </c>
      <c r="K17" s="138">
        <v>1</v>
      </c>
      <c r="L17" s="140" t="s">
        <v>16</v>
      </c>
      <c r="M17" s="139">
        <v>88</v>
      </c>
      <c r="N17" s="138">
        <v>19</v>
      </c>
      <c r="O17" s="138">
        <v>18</v>
      </c>
      <c r="P17" s="138">
        <v>12</v>
      </c>
      <c r="Q17" s="134" t="s">
        <v>16</v>
      </c>
      <c r="R17" s="134" t="s">
        <v>16</v>
      </c>
      <c r="S17" s="340">
        <v>106</v>
      </c>
      <c r="T17" s="222">
        <v>327</v>
      </c>
      <c r="U17" s="139">
        <v>6</v>
      </c>
      <c r="V17" s="276">
        <v>17</v>
      </c>
      <c r="W17" s="273">
        <v>10</v>
      </c>
      <c r="X17" s="144">
        <v>11</v>
      </c>
      <c r="Y17" s="139"/>
      <c r="Z17" s="144">
        <v>2</v>
      </c>
      <c r="AA17" s="139">
        <v>182</v>
      </c>
      <c r="AB17" s="144">
        <v>235</v>
      </c>
      <c r="AC17" s="131">
        <v>2</v>
      </c>
      <c r="AD17" s="136">
        <v>6</v>
      </c>
      <c r="AE17" s="131">
        <v>1</v>
      </c>
      <c r="AF17" s="136" t="s">
        <v>16</v>
      </c>
      <c r="AH17" s="37"/>
    </row>
    <row r="18" spans="1:36" ht="19.5" customHeight="1" thickBot="1" thickTop="1">
      <c r="A18" s="195">
        <v>13</v>
      </c>
      <c r="B18" s="192">
        <v>1176</v>
      </c>
      <c r="C18" s="144">
        <v>150</v>
      </c>
      <c r="D18" s="181">
        <v>41</v>
      </c>
      <c r="E18" s="138">
        <v>37</v>
      </c>
      <c r="F18" s="328">
        <v>285</v>
      </c>
      <c r="G18" s="324">
        <f t="shared" si="0"/>
        <v>67.05882352941177</v>
      </c>
      <c r="H18" s="139">
        <v>11</v>
      </c>
      <c r="I18" s="138">
        <v>26</v>
      </c>
      <c r="J18" s="138" t="s">
        <v>16</v>
      </c>
      <c r="K18" s="138">
        <v>3</v>
      </c>
      <c r="L18" s="140">
        <v>3</v>
      </c>
      <c r="M18" s="139">
        <v>55</v>
      </c>
      <c r="N18" s="138">
        <v>10</v>
      </c>
      <c r="O18" s="138">
        <v>21</v>
      </c>
      <c r="P18" s="138">
        <v>6</v>
      </c>
      <c r="Q18" s="134" t="s">
        <v>16</v>
      </c>
      <c r="R18" s="134" t="s">
        <v>16</v>
      </c>
      <c r="S18" s="340">
        <v>155</v>
      </c>
      <c r="T18" s="222">
        <v>361</v>
      </c>
      <c r="U18" s="139">
        <v>6</v>
      </c>
      <c r="V18" s="276">
        <v>8</v>
      </c>
      <c r="W18" s="273">
        <v>8</v>
      </c>
      <c r="X18" s="144">
        <v>7</v>
      </c>
      <c r="Y18" s="139"/>
      <c r="Z18" s="144">
        <v>4</v>
      </c>
      <c r="AA18" s="139">
        <v>148</v>
      </c>
      <c r="AB18" s="144">
        <v>284</v>
      </c>
      <c r="AC18" s="131">
        <v>2</v>
      </c>
      <c r="AD18" s="136">
        <v>6</v>
      </c>
      <c r="AE18" s="131">
        <v>2</v>
      </c>
      <c r="AF18" s="136" t="s">
        <v>16</v>
      </c>
      <c r="AH18" s="37"/>
      <c r="AJ18" s="76"/>
    </row>
    <row r="19" spans="1:36" ht="19.5" customHeight="1" thickBot="1" thickTop="1">
      <c r="A19" s="195">
        <v>14</v>
      </c>
      <c r="B19" s="192">
        <v>1113</v>
      </c>
      <c r="C19" s="144">
        <v>123</v>
      </c>
      <c r="D19" s="181">
        <v>35</v>
      </c>
      <c r="E19" s="138">
        <v>40</v>
      </c>
      <c r="F19" s="328">
        <v>280</v>
      </c>
      <c r="G19" s="324">
        <f t="shared" si="0"/>
        <v>65.88235294117646</v>
      </c>
      <c r="H19" s="139">
        <v>10</v>
      </c>
      <c r="I19" s="138">
        <v>38</v>
      </c>
      <c r="J19" s="138">
        <v>10</v>
      </c>
      <c r="K19" s="138" t="s">
        <v>16</v>
      </c>
      <c r="L19" s="140" t="s">
        <v>16</v>
      </c>
      <c r="M19" s="139">
        <v>81</v>
      </c>
      <c r="N19" s="138">
        <v>21</v>
      </c>
      <c r="O19" s="138">
        <v>21</v>
      </c>
      <c r="P19" s="138">
        <v>4</v>
      </c>
      <c r="Q19" s="134" t="s">
        <v>16</v>
      </c>
      <c r="R19" s="134" t="s">
        <v>16</v>
      </c>
      <c r="S19" s="222">
        <v>193</v>
      </c>
      <c r="T19" s="222">
        <v>239</v>
      </c>
      <c r="U19" s="139">
        <v>4</v>
      </c>
      <c r="V19" s="276">
        <v>4</v>
      </c>
      <c r="W19" s="273">
        <v>10</v>
      </c>
      <c r="X19" s="144">
        <v>4</v>
      </c>
      <c r="Y19" s="139"/>
      <c r="Z19" s="144">
        <v>3</v>
      </c>
      <c r="AA19" s="139">
        <v>208</v>
      </c>
      <c r="AB19" s="144">
        <v>192</v>
      </c>
      <c r="AC19" s="131">
        <v>1</v>
      </c>
      <c r="AD19" s="136">
        <v>5</v>
      </c>
      <c r="AE19" s="131">
        <v>9</v>
      </c>
      <c r="AF19" s="144" t="s">
        <v>16</v>
      </c>
      <c r="AH19" s="37"/>
      <c r="AJ19" s="76"/>
    </row>
    <row r="20" spans="1:34" s="322" customFormat="1" ht="19.5" customHeight="1" thickBot="1" thickTop="1">
      <c r="A20" s="311">
        <v>15</v>
      </c>
      <c r="B20" s="312">
        <v>1082</v>
      </c>
      <c r="C20" s="313">
        <v>158</v>
      </c>
      <c r="D20" s="314">
        <v>46</v>
      </c>
      <c r="E20" s="315">
        <v>33</v>
      </c>
      <c r="F20" s="330">
        <v>293</v>
      </c>
      <c r="G20" s="324">
        <f t="shared" si="0"/>
        <v>68.94117647058823</v>
      </c>
      <c r="H20" s="316">
        <v>10</v>
      </c>
      <c r="I20" s="315">
        <v>24</v>
      </c>
      <c r="J20" s="315" t="s">
        <v>16</v>
      </c>
      <c r="K20" s="315">
        <v>4</v>
      </c>
      <c r="L20" s="317" t="s">
        <v>16</v>
      </c>
      <c r="M20" s="139">
        <v>58</v>
      </c>
      <c r="N20" s="138">
        <v>13</v>
      </c>
      <c r="O20" s="138">
        <v>21</v>
      </c>
      <c r="P20" s="138">
        <v>7</v>
      </c>
      <c r="Q20" s="134" t="s">
        <v>16</v>
      </c>
      <c r="R20" s="134" t="s">
        <v>27</v>
      </c>
      <c r="S20" s="222">
        <v>130</v>
      </c>
      <c r="T20" s="222">
        <v>190</v>
      </c>
      <c r="U20" s="139">
        <v>6</v>
      </c>
      <c r="V20" s="276">
        <v>14</v>
      </c>
      <c r="W20" s="273">
        <v>6</v>
      </c>
      <c r="X20" s="144">
        <v>6</v>
      </c>
      <c r="Y20" s="139">
        <v>1</v>
      </c>
      <c r="Z20" s="144">
        <v>4</v>
      </c>
      <c r="AA20" s="316">
        <v>128</v>
      </c>
      <c r="AB20" s="313">
        <v>283</v>
      </c>
      <c r="AC20" s="320">
        <v>3</v>
      </c>
      <c r="AD20" s="321">
        <v>4</v>
      </c>
      <c r="AE20" s="320">
        <v>4</v>
      </c>
      <c r="AF20" s="321" t="s">
        <v>16</v>
      </c>
      <c r="AH20" s="323"/>
    </row>
    <row r="21" spans="1:34" s="322" customFormat="1" ht="19.5" customHeight="1" thickBot="1" thickTop="1">
      <c r="A21" s="311">
        <v>16</v>
      </c>
      <c r="B21" s="312">
        <v>888</v>
      </c>
      <c r="C21" s="313">
        <v>148</v>
      </c>
      <c r="D21" s="314">
        <v>32</v>
      </c>
      <c r="E21" s="315">
        <v>24</v>
      </c>
      <c r="F21" s="330">
        <v>299</v>
      </c>
      <c r="G21" s="324">
        <f t="shared" si="0"/>
        <v>70.3529411764706</v>
      </c>
      <c r="H21" s="316">
        <v>6</v>
      </c>
      <c r="I21" s="315">
        <v>33</v>
      </c>
      <c r="J21" s="315" t="s">
        <v>16</v>
      </c>
      <c r="K21" s="315">
        <v>4</v>
      </c>
      <c r="L21" s="317" t="s">
        <v>16</v>
      </c>
      <c r="M21" s="139">
        <v>52</v>
      </c>
      <c r="N21" s="138">
        <v>12</v>
      </c>
      <c r="O21" s="138">
        <v>15</v>
      </c>
      <c r="P21" s="138">
        <v>8</v>
      </c>
      <c r="Q21" s="134" t="s">
        <v>16</v>
      </c>
      <c r="R21" s="134" t="s">
        <v>16</v>
      </c>
      <c r="S21" s="222">
        <v>173</v>
      </c>
      <c r="T21" s="222">
        <v>372</v>
      </c>
      <c r="U21" s="139">
        <v>3</v>
      </c>
      <c r="V21" s="276">
        <v>17</v>
      </c>
      <c r="W21" s="273">
        <v>8</v>
      </c>
      <c r="X21" s="144">
        <v>9</v>
      </c>
      <c r="Y21" s="139">
        <v>1</v>
      </c>
      <c r="Z21" s="144">
        <v>3</v>
      </c>
      <c r="AA21" s="316">
        <v>127</v>
      </c>
      <c r="AB21" s="313">
        <v>301</v>
      </c>
      <c r="AC21" s="320">
        <v>1</v>
      </c>
      <c r="AD21" s="321">
        <v>3</v>
      </c>
      <c r="AE21" s="320">
        <v>4</v>
      </c>
      <c r="AF21" s="321" t="s">
        <v>16</v>
      </c>
      <c r="AH21" s="323"/>
    </row>
    <row r="22" spans="1:34" ht="19.5" customHeight="1" thickBot="1" thickTop="1">
      <c r="A22" s="195">
        <v>17</v>
      </c>
      <c r="B22" s="192">
        <v>1299</v>
      </c>
      <c r="C22" s="144">
        <v>198</v>
      </c>
      <c r="D22" s="181">
        <v>41</v>
      </c>
      <c r="E22" s="138">
        <v>40</v>
      </c>
      <c r="F22" s="328">
        <v>300</v>
      </c>
      <c r="G22" s="324">
        <f t="shared" si="0"/>
        <v>70.58823529411765</v>
      </c>
      <c r="H22" s="139">
        <v>4</v>
      </c>
      <c r="I22" s="138">
        <v>34</v>
      </c>
      <c r="J22" s="138" t="s">
        <v>16</v>
      </c>
      <c r="K22" s="138">
        <v>1</v>
      </c>
      <c r="L22" s="140" t="s">
        <v>16</v>
      </c>
      <c r="M22" s="139">
        <v>57</v>
      </c>
      <c r="N22" s="138">
        <v>23</v>
      </c>
      <c r="O22" s="138">
        <v>9</v>
      </c>
      <c r="P22" s="138">
        <v>7</v>
      </c>
      <c r="Q22" s="134" t="s">
        <v>16</v>
      </c>
      <c r="R22" s="134" t="s">
        <v>16</v>
      </c>
      <c r="S22" s="340">
        <v>107</v>
      </c>
      <c r="T22" s="222">
        <v>274</v>
      </c>
      <c r="U22" s="139">
        <v>6</v>
      </c>
      <c r="V22" s="276">
        <v>11</v>
      </c>
      <c r="W22" s="273">
        <v>2</v>
      </c>
      <c r="X22" s="144">
        <v>5</v>
      </c>
      <c r="Y22" s="139"/>
      <c r="Z22" s="144">
        <v>3</v>
      </c>
      <c r="AA22" s="139">
        <v>134</v>
      </c>
      <c r="AB22" s="144">
        <v>267</v>
      </c>
      <c r="AC22" s="131">
        <v>1</v>
      </c>
      <c r="AD22" s="136">
        <v>1</v>
      </c>
      <c r="AE22" s="131">
        <v>4</v>
      </c>
      <c r="AF22" s="136" t="s">
        <v>16</v>
      </c>
      <c r="AH22" s="37"/>
    </row>
    <row r="23" spans="1:34" ht="19.5" customHeight="1" thickBot="1" thickTop="1">
      <c r="A23" s="280">
        <v>18</v>
      </c>
      <c r="B23" s="281" t="s">
        <v>16</v>
      </c>
      <c r="C23" s="282">
        <v>222</v>
      </c>
      <c r="D23" s="283">
        <v>7</v>
      </c>
      <c r="E23" s="284">
        <v>6</v>
      </c>
      <c r="F23" s="329">
        <v>301</v>
      </c>
      <c r="G23" s="324">
        <f t="shared" si="0"/>
        <v>70.82352941176471</v>
      </c>
      <c r="H23" s="285">
        <v>1</v>
      </c>
      <c r="I23" s="284" t="s">
        <v>16</v>
      </c>
      <c r="J23" s="284" t="s">
        <v>16</v>
      </c>
      <c r="K23" s="284">
        <v>3</v>
      </c>
      <c r="L23" s="286">
        <v>1</v>
      </c>
      <c r="M23" s="285">
        <v>7</v>
      </c>
      <c r="N23" s="284">
        <v>4</v>
      </c>
      <c r="O23" s="284" t="s">
        <v>16</v>
      </c>
      <c r="P23" s="284" t="s">
        <v>16</v>
      </c>
      <c r="Q23" s="290" t="s">
        <v>16</v>
      </c>
      <c r="R23" s="290" t="s">
        <v>16</v>
      </c>
      <c r="S23" s="344" t="s">
        <v>16</v>
      </c>
      <c r="T23" s="336">
        <v>76</v>
      </c>
      <c r="U23" s="285" t="s">
        <v>16</v>
      </c>
      <c r="V23" s="291" t="s">
        <v>16</v>
      </c>
      <c r="W23" s="292" t="s">
        <v>16</v>
      </c>
      <c r="X23" s="282" t="s">
        <v>16</v>
      </c>
      <c r="Y23" s="285" t="s">
        <v>16</v>
      </c>
      <c r="Z23" s="282" t="s">
        <v>16</v>
      </c>
      <c r="AA23" s="285" t="s">
        <v>16</v>
      </c>
      <c r="AB23" s="291">
        <v>6</v>
      </c>
      <c r="AC23" s="292" t="s">
        <v>16</v>
      </c>
      <c r="AD23" s="282" t="s">
        <v>16</v>
      </c>
      <c r="AE23" s="285" t="s">
        <v>16</v>
      </c>
      <c r="AF23" s="282" t="s">
        <v>16</v>
      </c>
      <c r="AH23" s="37"/>
    </row>
    <row r="24" spans="1:34" ht="19.5" customHeight="1" thickBot="1" thickTop="1">
      <c r="A24" s="195">
        <v>19</v>
      </c>
      <c r="B24" s="192">
        <v>1424</v>
      </c>
      <c r="C24" s="144">
        <v>186</v>
      </c>
      <c r="D24" s="181">
        <v>60</v>
      </c>
      <c r="E24" s="138">
        <v>54</v>
      </c>
      <c r="F24" s="328">
        <v>295</v>
      </c>
      <c r="G24" s="324">
        <f t="shared" si="0"/>
        <v>69.41176470588235</v>
      </c>
      <c r="H24" s="139">
        <v>9</v>
      </c>
      <c r="I24" s="138">
        <v>30</v>
      </c>
      <c r="J24" s="138" t="s">
        <v>16</v>
      </c>
      <c r="K24" s="138">
        <v>3</v>
      </c>
      <c r="L24" s="140">
        <v>1</v>
      </c>
      <c r="M24" s="139">
        <v>78</v>
      </c>
      <c r="N24" s="138">
        <v>18</v>
      </c>
      <c r="O24" s="138">
        <v>17</v>
      </c>
      <c r="P24" s="138">
        <v>9</v>
      </c>
      <c r="Q24" s="134" t="s">
        <v>16</v>
      </c>
      <c r="R24" s="134" t="s">
        <v>27</v>
      </c>
      <c r="S24" s="340">
        <v>171</v>
      </c>
      <c r="T24" s="222">
        <v>499</v>
      </c>
      <c r="U24" s="139">
        <v>9</v>
      </c>
      <c r="V24" s="276">
        <v>18</v>
      </c>
      <c r="W24" s="273">
        <v>12</v>
      </c>
      <c r="X24" s="144">
        <v>13</v>
      </c>
      <c r="Y24" s="139"/>
      <c r="Z24" s="144">
        <v>1</v>
      </c>
      <c r="AA24" s="139">
        <v>268</v>
      </c>
      <c r="AB24" s="144">
        <v>461</v>
      </c>
      <c r="AC24" s="131">
        <v>2</v>
      </c>
      <c r="AD24" s="136">
        <v>7</v>
      </c>
      <c r="AE24" s="131">
        <v>3</v>
      </c>
      <c r="AF24" s="136" t="s">
        <v>16</v>
      </c>
      <c r="AH24" s="37"/>
    </row>
    <row r="25" spans="1:34" ht="19.5" customHeight="1" thickBot="1" thickTop="1">
      <c r="A25" s="195">
        <v>20</v>
      </c>
      <c r="B25" s="192">
        <v>1036</v>
      </c>
      <c r="C25" s="144">
        <v>177</v>
      </c>
      <c r="D25" s="181">
        <v>29</v>
      </c>
      <c r="E25" s="138">
        <v>24</v>
      </c>
      <c r="F25" s="328">
        <v>291</v>
      </c>
      <c r="G25" s="324">
        <f t="shared" si="0"/>
        <v>68.47058823529412</v>
      </c>
      <c r="H25" s="139">
        <v>5</v>
      </c>
      <c r="I25" s="138">
        <v>27</v>
      </c>
      <c r="J25" s="138" t="s">
        <v>16</v>
      </c>
      <c r="K25" s="138">
        <v>1</v>
      </c>
      <c r="L25" s="140">
        <v>1</v>
      </c>
      <c r="M25" s="139">
        <v>59</v>
      </c>
      <c r="N25" s="138">
        <v>12</v>
      </c>
      <c r="O25" s="138">
        <v>17</v>
      </c>
      <c r="P25" s="138">
        <v>10</v>
      </c>
      <c r="Q25" s="141" t="s">
        <v>27</v>
      </c>
      <c r="R25" s="142" t="s">
        <v>16</v>
      </c>
      <c r="S25" s="340">
        <v>151</v>
      </c>
      <c r="T25" s="222">
        <v>279</v>
      </c>
      <c r="U25" s="139">
        <v>6</v>
      </c>
      <c r="V25" s="276">
        <v>18</v>
      </c>
      <c r="W25" s="273">
        <v>5</v>
      </c>
      <c r="X25" s="144">
        <v>9</v>
      </c>
      <c r="Y25" s="139"/>
      <c r="Z25" s="144">
        <v>4</v>
      </c>
      <c r="AA25" s="139">
        <v>166</v>
      </c>
      <c r="AB25" s="144">
        <v>298</v>
      </c>
      <c r="AC25" s="131">
        <v>4</v>
      </c>
      <c r="AD25" s="136">
        <v>2</v>
      </c>
      <c r="AE25" s="131">
        <v>5</v>
      </c>
      <c r="AF25" s="136">
        <v>1</v>
      </c>
      <c r="AH25" s="37"/>
    </row>
    <row r="26" spans="1:34" ht="19.5" customHeight="1" thickBot="1" thickTop="1">
      <c r="A26" s="195">
        <v>21</v>
      </c>
      <c r="B26" s="192">
        <v>1094</v>
      </c>
      <c r="C26" s="144">
        <v>139</v>
      </c>
      <c r="D26" s="181">
        <v>32</v>
      </c>
      <c r="E26" s="138">
        <v>30</v>
      </c>
      <c r="F26" s="328">
        <v>293</v>
      </c>
      <c r="G26" s="324">
        <f t="shared" si="0"/>
        <v>68.94117647058823</v>
      </c>
      <c r="H26" s="139">
        <v>12</v>
      </c>
      <c r="I26" s="138">
        <v>31</v>
      </c>
      <c r="J26" s="138" t="s">
        <v>85</v>
      </c>
      <c r="K26" s="138">
        <v>2</v>
      </c>
      <c r="L26" s="140">
        <v>2</v>
      </c>
      <c r="M26" s="139">
        <v>58</v>
      </c>
      <c r="N26" s="138">
        <v>19</v>
      </c>
      <c r="O26" s="138">
        <v>16</v>
      </c>
      <c r="P26" s="138">
        <v>10</v>
      </c>
      <c r="Q26" s="134" t="s">
        <v>16</v>
      </c>
      <c r="R26" s="134" t="s">
        <v>16</v>
      </c>
      <c r="S26" s="222">
        <v>175</v>
      </c>
      <c r="T26" s="222">
        <v>310</v>
      </c>
      <c r="U26" s="139">
        <v>3</v>
      </c>
      <c r="V26" s="276">
        <v>20</v>
      </c>
      <c r="W26" s="273">
        <v>9</v>
      </c>
      <c r="X26" s="144">
        <v>4</v>
      </c>
      <c r="Y26" s="139"/>
      <c r="Z26" s="144">
        <v>2</v>
      </c>
      <c r="AA26" s="139">
        <v>129</v>
      </c>
      <c r="AB26" s="144">
        <v>150</v>
      </c>
      <c r="AC26" s="131">
        <v>1</v>
      </c>
      <c r="AD26" s="136">
        <v>5</v>
      </c>
      <c r="AE26" s="131">
        <v>4</v>
      </c>
      <c r="AF26" s="136" t="s">
        <v>16</v>
      </c>
      <c r="AH26" s="37"/>
    </row>
    <row r="27" spans="1:135" s="128" customFormat="1" ht="19.5" customHeight="1" thickBot="1" thickTop="1">
      <c r="A27" s="195">
        <v>22</v>
      </c>
      <c r="B27" s="192">
        <v>1194</v>
      </c>
      <c r="C27" s="144">
        <v>148</v>
      </c>
      <c r="D27" s="181">
        <v>30</v>
      </c>
      <c r="E27" s="138">
        <v>56</v>
      </c>
      <c r="F27" s="328">
        <v>267</v>
      </c>
      <c r="G27" s="324">
        <f t="shared" si="0"/>
        <v>62.8235294117647</v>
      </c>
      <c r="H27" s="139">
        <v>9</v>
      </c>
      <c r="I27" s="138">
        <v>26</v>
      </c>
      <c r="J27" s="138" t="s">
        <v>16</v>
      </c>
      <c r="K27" s="138">
        <v>4</v>
      </c>
      <c r="L27" s="140" t="s">
        <v>16</v>
      </c>
      <c r="M27" s="139">
        <v>70</v>
      </c>
      <c r="N27" s="138">
        <v>5</v>
      </c>
      <c r="O27" s="138">
        <v>28</v>
      </c>
      <c r="P27" s="138">
        <v>2</v>
      </c>
      <c r="Q27" s="134" t="s">
        <v>16</v>
      </c>
      <c r="R27" s="134" t="s">
        <v>16</v>
      </c>
      <c r="S27" s="340">
        <v>165</v>
      </c>
      <c r="T27" s="222">
        <v>300</v>
      </c>
      <c r="U27" s="139">
        <v>4</v>
      </c>
      <c r="V27" s="276">
        <v>13</v>
      </c>
      <c r="W27" s="273">
        <v>15</v>
      </c>
      <c r="X27" s="144">
        <v>12</v>
      </c>
      <c r="Y27" s="139"/>
      <c r="Z27" s="144">
        <v>3</v>
      </c>
      <c r="AA27" s="139">
        <v>178</v>
      </c>
      <c r="AB27" s="144">
        <v>234</v>
      </c>
      <c r="AC27" s="131">
        <v>1</v>
      </c>
      <c r="AD27" s="136">
        <v>8</v>
      </c>
      <c r="AE27" s="131">
        <v>3</v>
      </c>
      <c r="AF27" s="144" t="s">
        <v>16</v>
      </c>
      <c r="AG27" s="9"/>
      <c r="AH27" s="37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34" ht="19.5" customHeight="1" thickBot="1" thickTop="1">
      <c r="A28" s="195">
        <v>23</v>
      </c>
      <c r="B28" s="192">
        <v>933</v>
      </c>
      <c r="C28" s="144">
        <v>155</v>
      </c>
      <c r="D28" s="181">
        <v>42</v>
      </c>
      <c r="E28" s="138">
        <v>31</v>
      </c>
      <c r="F28" s="328">
        <v>277</v>
      </c>
      <c r="G28" s="324">
        <f t="shared" si="0"/>
        <v>65.17647058823529</v>
      </c>
      <c r="H28" s="139">
        <v>5</v>
      </c>
      <c r="I28" s="138">
        <v>27</v>
      </c>
      <c r="J28" s="138" t="s">
        <v>16</v>
      </c>
      <c r="K28" s="138">
        <v>2</v>
      </c>
      <c r="L28" s="140" t="s">
        <v>16</v>
      </c>
      <c r="M28" s="139">
        <v>58</v>
      </c>
      <c r="N28" s="138">
        <v>14</v>
      </c>
      <c r="O28" s="138">
        <v>16</v>
      </c>
      <c r="P28" s="138">
        <v>8</v>
      </c>
      <c r="Q28" s="134" t="s">
        <v>16</v>
      </c>
      <c r="R28" s="134" t="s">
        <v>16</v>
      </c>
      <c r="S28" s="340">
        <v>133</v>
      </c>
      <c r="T28" s="222">
        <v>360</v>
      </c>
      <c r="U28" s="139">
        <v>6</v>
      </c>
      <c r="V28" s="276">
        <v>17</v>
      </c>
      <c r="W28" s="273">
        <v>10</v>
      </c>
      <c r="X28" s="144">
        <v>6</v>
      </c>
      <c r="Y28" s="139"/>
      <c r="Z28" s="144">
        <v>2</v>
      </c>
      <c r="AA28" s="139">
        <v>245</v>
      </c>
      <c r="AB28" s="144">
        <v>278</v>
      </c>
      <c r="AC28" s="131">
        <v>2</v>
      </c>
      <c r="AD28" s="136">
        <v>5</v>
      </c>
      <c r="AE28" s="131">
        <v>5</v>
      </c>
      <c r="AF28" s="136" t="s">
        <v>16</v>
      </c>
      <c r="AH28" s="37"/>
    </row>
    <row r="29" spans="1:34" ht="19.5" customHeight="1" thickBot="1" thickTop="1">
      <c r="A29" s="195">
        <v>24</v>
      </c>
      <c r="B29" s="192">
        <v>1064</v>
      </c>
      <c r="C29" s="144">
        <v>198</v>
      </c>
      <c r="D29" s="181">
        <v>31</v>
      </c>
      <c r="E29" s="138">
        <v>26</v>
      </c>
      <c r="F29" s="328">
        <v>281</v>
      </c>
      <c r="G29" s="324">
        <f t="shared" si="0"/>
        <v>66.11764705882354</v>
      </c>
      <c r="H29" s="139">
        <v>11</v>
      </c>
      <c r="I29" s="138">
        <v>25</v>
      </c>
      <c r="J29" s="138" t="s">
        <v>16</v>
      </c>
      <c r="K29" s="138" t="s">
        <v>16</v>
      </c>
      <c r="L29" s="140">
        <v>1</v>
      </c>
      <c r="M29" s="139">
        <v>49</v>
      </c>
      <c r="N29" s="138">
        <v>8</v>
      </c>
      <c r="O29" s="138">
        <v>16</v>
      </c>
      <c r="P29" s="138">
        <v>7</v>
      </c>
      <c r="Q29" s="134" t="s">
        <v>16</v>
      </c>
      <c r="R29" s="134" t="s">
        <v>16</v>
      </c>
      <c r="S29" s="340">
        <v>142</v>
      </c>
      <c r="T29" s="222">
        <v>290</v>
      </c>
      <c r="U29" s="139">
        <v>2</v>
      </c>
      <c r="V29" s="276">
        <v>12</v>
      </c>
      <c r="W29" s="273">
        <v>7</v>
      </c>
      <c r="X29" s="144">
        <v>2</v>
      </c>
      <c r="Y29" s="139"/>
      <c r="Z29" s="144">
        <v>3</v>
      </c>
      <c r="AA29" s="139">
        <v>123</v>
      </c>
      <c r="AB29" s="144">
        <v>206</v>
      </c>
      <c r="AC29" s="131" t="s">
        <v>16</v>
      </c>
      <c r="AD29" s="136">
        <v>1</v>
      </c>
      <c r="AE29" s="131">
        <v>7</v>
      </c>
      <c r="AF29" s="136" t="s">
        <v>16</v>
      </c>
      <c r="AH29" s="37"/>
    </row>
    <row r="30" spans="1:34" ht="19.5" customHeight="1" thickBot="1" thickTop="1">
      <c r="A30" s="280">
        <v>25</v>
      </c>
      <c r="B30" s="281" t="s">
        <v>16</v>
      </c>
      <c r="C30" s="282">
        <v>223</v>
      </c>
      <c r="D30" s="283">
        <v>7</v>
      </c>
      <c r="E30" s="284">
        <v>4</v>
      </c>
      <c r="F30" s="329">
        <v>283</v>
      </c>
      <c r="G30" s="324">
        <f t="shared" si="0"/>
        <v>66.58823529411765</v>
      </c>
      <c r="H30" s="285">
        <v>1</v>
      </c>
      <c r="I30" s="284" t="s">
        <v>16</v>
      </c>
      <c r="J30" s="284" t="s">
        <v>16</v>
      </c>
      <c r="K30" s="284">
        <v>3</v>
      </c>
      <c r="L30" s="286" t="s">
        <v>16</v>
      </c>
      <c r="M30" s="285">
        <v>6</v>
      </c>
      <c r="N30" s="284">
        <v>2</v>
      </c>
      <c r="O30" s="284" t="s">
        <v>16</v>
      </c>
      <c r="P30" s="284" t="s">
        <v>16</v>
      </c>
      <c r="Q30" s="290" t="s">
        <v>16</v>
      </c>
      <c r="R30" s="290" t="s">
        <v>16</v>
      </c>
      <c r="S30" s="344" t="s">
        <v>16</v>
      </c>
      <c r="T30" s="336">
        <v>41</v>
      </c>
      <c r="U30" s="285" t="s">
        <v>16</v>
      </c>
      <c r="V30" s="291" t="s">
        <v>16</v>
      </c>
      <c r="W30" s="292" t="s">
        <v>16</v>
      </c>
      <c r="X30" s="282" t="s">
        <v>16</v>
      </c>
      <c r="Y30" s="285" t="s">
        <v>16</v>
      </c>
      <c r="Z30" s="282" t="s">
        <v>16</v>
      </c>
      <c r="AA30" s="285" t="s">
        <v>16</v>
      </c>
      <c r="AB30" s="291">
        <v>6</v>
      </c>
      <c r="AC30" s="292" t="s">
        <v>16</v>
      </c>
      <c r="AD30" s="282" t="s">
        <v>16</v>
      </c>
      <c r="AE30" s="285" t="s">
        <v>16</v>
      </c>
      <c r="AF30" s="282" t="s">
        <v>16</v>
      </c>
      <c r="AH30" s="37"/>
    </row>
    <row r="31" spans="1:33" ht="19.5" customHeight="1" thickBot="1" thickTop="1">
      <c r="A31" s="195">
        <v>26</v>
      </c>
      <c r="B31" s="192">
        <v>1448</v>
      </c>
      <c r="C31" s="144">
        <v>137</v>
      </c>
      <c r="D31" s="181">
        <v>63</v>
      </c>
      <c r="E31" s="138">
        <v>51</v>
      </c>
      <c r="F31" s="328">
        <v>295</v>
      </c>
      <c r="G31" s="324">
        <f t="shared" si="0"/>
        <v>69.41176470588235</v>
      </c>
      <c r="H31" s="139">
        <v>6</v>
      </c>
      <c r="I31" s="138">
        <v>28</v>
      </c>
      <c r="J31" s="138" t="s">
        <v>16</v>
      </c>
      <c r="K31" s="138">
        <v>5</v>
      </c>
      <c r="L31" s="140">
        <v>2</v>
      </c>
      <c r="M31" s="139">
        <v>86</v>
      </c>
      <c r="N31" s="138">
        <v>20</v>
      </c>
      <c r="O31" s="138">
        <v>24</v>
      </c>
      <c r="P31" s="138">
        <v>5</v>
      </c>
      <c r="Q31" s="133" t="s">
        <v>27</v>
      </c>
      <c r="R31" s="134" t="s">
        <v>16</v>
      </c>
      <c r="S31" s="341">
        <v>236</v>
      </c>
      <c r="T31" s="222">
        <v>301</v>
      </c>
      <c r="U31" s="139">
        <v>5</v>
      </c>
      <c r="V31" s="276">
        <v>17</v>
      </c>
      <c r="W31" s="273">
        <v>11</v>
      </c>
      <c r="X31" s="144">
        <v>11</v>
      </c>
      <c r="Y31" s="139">
        <v>1</v>
      </c>
      <c r="Z31" s="144">
        <v>1</v>
      </c>
      <c r="AA31" s="139">
        <v>267</v>
      </c>
      <c r="AB31" s="144">
        <v>213</v>
      </c>
      <c r="AC31" s="131">
        <v>5</v>
      </c>
      <c r="AD31" s="136">
        <v>11</v>
      </c>
      <c r="AE31" s="131">
        <v>4</v>
      </c>
      <c r="AF31" s="136">
        <v>1</v>
      </c>
      <c r="AG31" s="37"/>
    </row>
    <row r="32" spans="1:33" ht="19.5" customHeight="1" thickBot="1" thickTop="1">
      <c r="A32" s="195">
        <v>27</v>
      </c>
      <c r="B32" s="192">
        <v>937</v>
      </c>
      <c r="C32" s="144">
        <v>161</v>
      </c>
      <c r="D32" s="181">
        <v>29</v>
      </c>
      <c r="E32" s="138">
        <v>25</v>
      </c>
      <c r="F32" s="328">
        <v>299</v>
      </c>
      <c r="G32" s="324">
        <f t="shared" si="0"/>
        <v>70.3529411764706</v>
      </c>
      <c r="H32" s="139">
        <v>11</v>
      </c>
      <c r="I32" s="138">
        <v>25</v>
      </c>
      <c r="J32" s="138" t="s">
        <v>16</v>
      </c>
      <c r="K32" s="138" t="s">
        <v>16</v>
      </c>
      <c r="L32" s="140" t="s">
        <v>16</v>
      </c>
      <c r="M32" s="139">
        <v>60</v>
      </c>
      <c r="N32" s="138">
        <v>14</v>
      </c>
      <c r="O32" s="138">
        <v>20</v>
      </c>
      <c r="P32" s="138">
        <v>8</v>
      </c>
      <c r="Q32" s="134" t="s">
        <v>16</v>
      </c>
      <c r="R32" s="134" t="s">
        <v>16</v>
      </c>
      <c r="S32" s="340">
        <v>177</v>
      </c>
      <c r="T32" s="222">
        <v>335</v>
      </c>
      <c r="U32" s="139">
        <v>8</v>
      </c>
      <c r="V32" s="276">
        <v>17</v>
      </c>
      <c r="W32" s="273">
        <v>4</v>
      </c>
      <c r="X32" s="144">
        <v>4</v>
      </c>
      <c r="Y32" s="139"/>
      <c r="Z32" s="144">
        <v>4</v>
      </c>
      <c r="AA32" s="139">
        <v>236</v>
      </c>
      <c r="AB32" s="144">
        <v>159</v>
      </c>
      <c r="AC32" s="131">
        <v>5</v>
      </c>
      <c r="AD32" s="136">
        <v>8</v>
      </c>
      <c r="AE32" s="131">
        <v>2</v>
      </c>
      <c r="AF32" s="136" t="s">
        <v>16</v>
      </c>
      <c r="AG32" s="37"/>
    </row>
    <row r="33" spans="1:33" ht="19.5" customHeight="1" thickBot="1" thickTop="1">
      <c r="A33" s="195">
        <v>28</v>
      </c>
      <c r="B33" s="197">
        <v>1076</v>
      </c>
      <c r="C33" s="161">
        <v>149</v>
      </c>
      <c r="D33" s="184">
        <v>40</v>
      </c>
      <c r="E33" s="154">
        <v>34</v>
      </c>
      <c r="F33" s="332">
        <v>305</v>
      </c>
      <c r="G33" s="324">
        <f t="shared" si="0"/>
        <v>71.76470588235294</v>
      </c>
      <c r="H33" s="156">
        <v>11</v>
      </c>
      <c r="I33" s="154">
        <v>38</v>
      </c>
      <c r="J33" s="154">
        <v>3</v>
      </c>
      <c r="K33" s="154">
        <v>2</v>
      </c>
      <c r="L33" s="157">
        <v>2</v>
      </c>
      <c r="M33" s="156">
        <v>49</v>
      </c>
      <c r="N33" s="154">
        <v>19</v>
      </c>
      <c r="O33" s="154">
        <v>23</v>
      </c>
      <c r="P33" s="154">
        <v>7</v>
      </c>
      <c r="Q33" s="134" t="s">
        <v>16</v>
      </c>
      <c r="R33" s="134" t="s">
        <v>16</v>
      </c>
      <c r="S33" s="222">
        <v>183</v>
      </c>
      <c r="T33" s="222">
        <v>299</v>
      </c>
      <c r="U33" s="156">
        <v>3</v>
      </c>
      <c r="V33" s="277">
        <v>17</v>
      </c>
      <c r="W33" s="279">
        <v>10</v>
      </c>
      <c r="X33" s="161">
        <v>2</v>
      </c>
      <c r="Y33" s="156"/>
      <c r="Z33" s="144">
        <v>2</v>
      </c>
      <c r="AA33" s="156">
        <v>71</v>
      </c>
      <c r="AB33" s="161">
        <v>148</v>
      </c>
      <c r="AC33" s="131" t="s">
        <v>16</v>
      </c>
      <c r="AD33" s="136">
        <v>6</v>
      </c>
      <c r="AE33" s="131">
        <v>5</v>
      </c>
      <c r="AF33" s="136" t="s">
        <v>16</v>
      </c>
      <c r="AG33" s="37"/>
    </row>
    <row r="34" spans="1:135" s="128" customFormat="1" ht="19.5" customHeight="1" thickBot="1" thickTop="1">
      <c r="A34" s="195">
        <v>29</v>
      </c>
      <c r="B34" s="192">
        <v>1125</v>
      </c>
      <c r="C34" s="144">
        <v>172</v>
      </c>
      <c r="D34" s="181">
        <v>54</v>
      </c>
      <c r="E34" s="138">
        <v>48</v>
      </c>
      <c r="F34" s="328">
        <v>299</v>
      </c>
      <c r="G34" s="324">
        <f t="shared" si="0"/>
        <v>70.3529411764706</v>
      </c>
      <c r="H34" s="139">
        <v>11</v>
      </c>
      <c r="I34" s="138">
        <v>23</v>
      </c>
      <c r="J34" s="138" t="s">
        <v>16</v>
      </c>
      <c r="K34" s="138">
        <v>5</v>
      </c>
      <c r="L34" s="140">
        <v>1</v>
      </c>
      <c r="M34" s="139">
        <v>67</v>
      </c>
      <c r="N34" s="138">
        <v>19</v>
      </c>
      <c r="O34" s="138">
        <v>17</v>
      </c>
      <c r="P34" s="138">
        <v>13</v>
      </c>
      <c r="Q34" s="134" t="s">
        <v>16</v>
      </c>
      <c r="R34" s="134" t="s">
        <v>16</v>
      </c>
      <c r="S34" s="340">
        <v>167</v>
      </c>
      <c r="T34" s="222">
        <v>351</v>
      </c>
      <c r="U34" s="139">
        <v>4</v>
      </c>
      <c r="V34" s="276">
        <v>11</v>
      </c>
      <c r="W34" s="273">
        <v>15</v>
      </c>
      <c r="X34" s="144">
        <v>6</v>
      </c>
      <c r="Y34" s="139"/>
      <c r="Z34" s="144">
        <v>2</v>
      </c>
      <c r="AA34" s="139">
        <v>280</v>
      </c>
      <c r="AB34" s="144">
        <v>207</v>
      </c>
      <c r="AC34" s="131">
        <v>1</v>
      </c>
      <c r="AD34" s="136" t="s">
        <v>16</v>
      </c>
      <c r="AE34" s="131" t="s">
        <v>16</v>
      </c>
      <c r="AF34" s="136" t="s">
        <v>16</v>
      </c>
      <c r="AG34" s="37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</row>
    <row r="35" spans="1:33" ht="19.5" customHeight="1" thickBot="1" thickTop="1">
      <c r="A35" s="195">
        <v>30</v>
      </c>
      <c r="B35" s="197">
        <v>885</v>
      </c>
      <c r="C35" s="161">
        <v>114</v>
      </c>
      <c r="D35" s="184">
        <v>42</v>
      </c>
      <c r="E35" s="154">
        <v>38</v>
      </c>
      <c r="F35" s="332">
        <v>303</v>
      </c>
      <c r="G35" s="324">
        <f t="shared" si="0"/>
        <v>71.29411764705883</v>
      </c>
      <c r="H35" s="156">
        <v>3</v>
      </c>
      <c r="I35" s="154">
        <v>22</v>
      </c>
      <c r="J35" s="154" t="s">
        <v>16</v>
      </c>
      <c r="K35" s="154">
        <v>2</v>
      </c>
      <c r="L35" s="157" t="s">
        <v>16</v>
      </c>
      <c r="M35" s="156">
        <v>47</v>
      </c>
      <c r="N35" s="154">
        <v>20</v>
      </c>
      <c r="O35" s="154">
        <v>15</v>
      </c>
      <c r="P35" s="154">
        <v>8</v>
      </c>
      <c r="Q35" s="134" t="s">
        <v>16</v>
      </c>
      <c r="R35" s="213" t="s">
        <v>16</v>
      </c>
      <c r="S35" s="342">
        <v>156</v>
      </c>
      <c r="T35" s="337">
        <v>418</v>
      </c>
      <c r="U35" s="156">
        <v>10</v>
      </c>
      <c r="V35" s="277">
        <v>9</v>
      </c>
      <c r="W35" s="279">
        <v>8</v>
      </c>
      <c r="X35" s="161">
        <v>4</v>
      </c>
      <c r="Y35" s="156">
        <v>1</v>
      </c>
      <c r="Z35" s="161">
        <v>3</v>
      </c>
      <c r="AA35" s="156">
        <v>123</v>
      </c>
      <c r="AB35" s="161">
        <v>163</v>
      </c>
      <c r="AC35" s="131">
        <v>4</v>
      </c>
      <c r="AD35" s="136">
        <v>7</v>
      </c>
      <c r="AE35" s="131">
        <v>4</v>
      </c>
      <c r="AF35" s="136" t="s">
        <v>16</v>
      </c>
      <c r="AG35" s="37"/>
    </row>
    <row r="36" spans="1:33" ht="19.5" customHeight="1" thickBot="1" thickTop="1">
      <c r="A36" s="199" t="s">
        <v>22</v>
      </c>
      <c r="B36" s="306">
        <f aca="true" t="shared" si="1" ref="B36:L36">SUM(B6:B35)</f>
        <v>28446</v>
      </c>
      <c r="C36" s="306">
        <f t="shared" si="1"/>
        <v>5208</v>
      </c>
      <c r="D36" s="306">
        <f t="shared" si="1"/>
        <v>1088</v>
      </c>
      <c r="E36" s="306">
        <f t="shared" si="1"/>
        <v>962</v>
      </c>
      <c r="F36" s="306">
        <f t="shared" si="1"/>
        <v>8495</v>
      </c>
      <c r="G36" s="459">
        <f>SUM(G6:G35)</f>
        <v>1998.8235294117644</v>
      </c>
      <c r="H36" s="306">
        <f t="shared" si="1"/>
        <v>203</v>
      </c>
      <c r="I36" s="306">
        <f t="shared" si="1"/>
        <v>696</v>
      </c>
      <c r="J36" s="345" t="s">
        <v>86</v>
      </c>
      <c r="K36" s="306">
        <f>SUM(K6:K35)</f>
        <v>82</v>
      </c>
      <c r="L36" s="306">
        <f t="shared" si="1"/>
        <v>21</v>
      </c>
      <c r="M36" s="260">
        <f>SUM(M6:M35)</f>
        <v>1623</v>
      </c>
      <c r="N36" s="260">
        <f>SUM(N6:N35)</f>
        <v>420</v>
      </c>
      <c r="O36" s="260">
        <f>SUM(O6:O35)</f>
        <v>462</v>
      </c>
      <c r="P36" s="260">
        <f>SUM(P6:P35)</f>
        <v>203</v>
      </c>
      <c r="Q36" s="260">
        <v>2</v>
      </c>
      <c r="R36" s="260">
        <v>3</v>
      </c>
      <c r="S36" s="306">
        <f>SUM(S6:S35)</f>
        <v>4076</v>
      </c>
      <c r="T36" s="306">
        <f>SUM(T6:T35)</f>
        <v>8095</v>
      </c>
      <c r="U36" s="218">
        <f aca="true" t="shared" si="2" ref="U36:Z36">SUM(U6:U35)</f>
        <v>135</v>
      </c>
      <c r="V36" s="218">
        <f t="shared" si="2"/>
        <v>339</v>
      </c>
      <c r="W36" s="218">
        <f t="shared" si="2"/>
        <v>243</v>
      </c>
      <c r="X36" s="218">
        <f t="shared" si="2"/>
        <v>164</v>
      </c>
      <c r="Y36" s="218">
        <f t="shared" si="2"/>
        <v>8</v>
      </c>
      <c r="Z36" s="218">
        <f t="shared" si="2"/>
        <v>63</v>
      </c>
      <c r="AA36" s="175">
        <f aca="true" t="shared" si="3" ref="AA36:AF36">SUM(AA6:AA35)</f>
        <v>4147</v>
      </c>
      <c r="AB36" s="175">
        <f t="shared" si="3"/>
        <v>6071</v>
      </c>
      <c r="AC36" s="175">
        <f t="shared" si="3"/>
        <v>51</v>
      </c>
      <c r="AD36" s="175">
        <f t="shared" si="3"/>
        <v>111</v>
      </c>
      <c r="AE36" s="175">
        <f t="shared" si="3"/>
        <v>92</v>
      </c>
      <c r="AF36" s="175">
        <f t="shared" si="3"/>
        <v>9</v>
      </c>
      <c r="AG36" s="37"/>
    </row>
    <row r="37" spans="1:33" ht="13.5" thickTop="1">
      <c r="A37" s="39"/>
      <c r="B37" s="40"/>
      <c r="C37" s="40"/>
      <c r="D37" s="40"/>
      <c r="E37" s="40"/>
      <c r="F37" s="39"/>
      <c r="G37" s="682">
        <f>G36/30</f>
        <v>66.62745098039214</v>
      </c>
      <c r="H37" s="39"/>
      <c r="I37" s="39"/>
      <c r="J37" s="39"/>
      <c r="K37" s="39"/>
      <c r="L37" s="106"/>
      <c r="M37" s="107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7"/>
    </row>
    <row r="38" spans="1:33" ht="20.25">
      <c r="A38" s="597" t="s">
        <v>88</v>
      </c>
      <c r="B38" s="597"/>
      <c r="C38" s="597"/>
      <c r="D38" s="597" t="s">
        <v>87</v>
      </c>
      <c r="E38" s="597"/>
      <c r="F38" s="597"/>
      <c r="G38" s="597"/>
      <c r="H38" s="597"/>
      <c r="I38" s="39"/>
      <c r="J38" s="39"/>
      <c r="K38" s="39"/>
      <c r="L38" s="106"/>
      <c r="M38" s="106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7"/>
    </row>
    <row r="39" spans="1:33" ht="18">
      <c r="A39" s="39"/>
      <c r="B39" s="40"/>
      <c r="C39" s="40"/>
      <c r="D39" s="40"/>
      <c r="E39" s="40"/>
      <c r="F39" s="39"/>
      <c r="G39" s="37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217" t="s">
        <v>29</v>
      </c>
      <c r="AA39" s="39"/>
      <c r="AB39" s="39"/>
      <c r="AC39" s="39"/>
      <c r="AD39" s="39"/>
      <c r="AE39" s="39"/>
      <c r="AF39" s="39"/>
      <c r="AG39" s="37"/>
    </row>
    <row r="40" ht="12.75">
      <c r="G40" s="42"/>
    </row>
    <row r="41" ht="12.75">
      <c r="N41" s="8"/>
    </row>
    <row r="42" spans="14:15" ht="12.75">
      <c r="N42" s="8"/>
      <c r="O42" s="8"/>
    </row>
    <row r="46" ht="12.75">
      <c r="A46" s="9"/>
    </row>
    <row r="47" ht="12.75">
      <c r="A47" s="9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spans="1:11" ht="12.75">
      <c r="A54" s="9"/>
      <c r="K54">
        <f>+H59-26</f>
        <v>267</v>
      </c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spans="1:8" ht="12.75">
      <c r="A59" s="9"/>
      <c r="H59">
        <f>277+16</f>
        <v>293</v>
      </c>
    </row>
    <row r="60" ht="12.75">
      <c r="A60" s="9"/>
    </row>
    <row r="61" ht="12.75">
      <c r="A61" s="9"/>
    </row>
    <row r="72" spans="4:7" ht="12.75">
      <c r="D72" s="21"/>
      <c r="G72" s="43"/>
    </row>
    <row r="84" ht="12.75">
      <c r="I84">
        <f>65-37</f>
        <v>28</v>
      </c>
    </row>
  </sheetData>
  <sheetProtection/>
  <mergeCells count="33"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H4"/>
    <mergeCell ref="W4:X4"/>
    <mergeCell ref="Y4:Z4"/>
    <mergeCell ref="AA4:AB4"/>
    <mergeCell ref="M4:N4"/>
    <mergeCell ref="O4:P4"/>
    <mergeCell ref="Q4:R4"/>
    <mergeCell ref="S4:T4"/>
    <mergeCell ref="D38:H38"/>
    <mergeCell ref="A5:C5"/>
    <mergeCell ref="D5:G5"/>
    <mergeCell ref="H5:L5"/>
    <mergeCell ref="A38:C38"/>
    <mergeCell ref="S3:T3"/>
    <mergeCell ref="AA3:AF3"/>
    <mergeCell ref="U3:Z3"/>
    <mergeCell ref="I3:I4"/>
    <mergeCell ref="L3:L4"/>
    <mergeCell ref="AC4:AD4"/>
    <mergeCell ref="AE4:AF4"/>
    <mergeCell ref="J3:J4"/>
    <mergeCell ref="K3:K4"/>
    <mergeCell ref="M3:R3"/>
    <mergeCell ref="U4:V4"/>
  </mergeCells>
  <printOptions horizontalCentered="1" verticalCentered="1"/>
  <pageMargins left="0.15" right="0.14" top="0.05" bottom="0.05" header="0" footer="0"/>
  <pageSetup horizontalDpi="600" verticalDpi="600" orientation="landscape" paperSize="5" scale="70" r:id="rId2"/>
  <rowBreaks count="1" manualBreakCount="1">
    <brk id="39" max="255" man="1"/>
  </rowBreaks>
  <colBreaks count="1" manualBreakCount="1"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preetam</cp:lastModifiedBy>
  <cp:lastPrinted>2011-12-07T16:43:26Z</cp:lastPrinted>
  <dcterms:created xsi:type="dcterms:W3CDTF">2010-03-25T10:35:36Z</dcterms:created>
  <dcterms:modified xsi:type="dcterms:W3CDTF">2011-12-27T09:03:44Z</dcterms:modified>
  <cp:category/>
  <cp:version/>
  <cp:contentType/>
  <cp:contentStatus/>
</cp:coreProperties>
</file>